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ERCIAL GAMING\7_Monthly Website Reports_Commercial\"/>
    </mc:Choice>
  </mc:AlternateContent>
  <xr:revisionPtr revIDLastSave="0" documentId="13_ncr:1_{16A7D8DE-E37C-4A51-BF69-5D35AE1DA7FF}" xr6:coauthVersionLast="47" xr6:coauthVersionMax="47" xr10:uidLastSave="{00000000-0000-0000-0000-000000000000}"/>
  <bookViews>
    <workbookView xWindow="21480" yWindow="-120" windowWidth="29040" windowHeight="15840" xr2:uid="{07D5CCC6-7629-4202-B33A-8F99890F6EAB}"/>
  </bookViews>
  <sheets>
    <sheet name="24-25 RW Catskills Monthly" sheetId="10" r:id="rId1"/>
    <sheet name="23-24 RW Catskills Monthly " sheetId="9" r:id="rId2"/>
    <sheet name="22-23 RW Catskills Monthly" sheetId="8" r:id="rId3"/>
    <sheet name="21-22 RW Catskills Monthly" sheetId="7" r:id="rId4"/>
    <sheet name="20-21 RW Catskills Monthly" sheetId="6" r:id="rId5"/>
    <sheet name="19-20 RW Catskills Monthly" sheetId="4" r:id="rId6"/>
    <sheet name="18-19 RW Catskills Monthly " sheetId="5" r:id="rId7"/>
    <sheet name="17-18 RW Catskills Monthly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0" l="1"/>
  <c r="F48" i="10" l="1"/>
  <c r="E48" i="10"/>
  <c r="R47" i="10"/>
  <c r="Q47" i="10"/>
  <c r="O47" i="10"/>
  <c r="N47" i="10"/>
  <c r="M47" i="10"/>
  <c r="L47" i="10"/>
  <c r="J47" i="10"/>
  <c r="I47" i="10"/>
  <c r="H47" i="10"/>
  <c r="D47" i="10"/>
  <c r="C47" i="10"/>
  <c r="R46" i="10"/>
  <c r="Q46" i="10"/>
  <c r="O46" i="10"/>
  <c r="N46" i="10"/>
  <c r="M46" i="10"/>
  <c r="L46" i="10"/>
  <c r="J46" i="10"/>
  <c r="I46" i="10"/>
  <c r="H46" i="10"/>
  <c r="D46" i="10"/>
  <c r="C46" i="10"/>
  <c r="R45" i="10"/>
  <c r="Q45" i="10"/>
  <c r="O45" i="10"/>
  <c r="N45" i="10"/>
  <c r="M45" i="10"/>
  <c r="L45" i="10"/>
  <c r="J45" i="10"/>
  <c r="I45" i="10"/>
  <c r="H45" i="10"/>
  <c r="D45" i="10"/>
  <c r="C45" i="10"/>
  <c r="R44" i="10"/>
  <c r="Q44" i="10"/>
  <c r="O44" i="10"/>
  <c r="N44" i="10"/>
  <c r="M44" i="10"/>
  <c r="L44" i="10"/>
  <c r="J44" i="10"/>
  <c r="I44" i="10"/>
  <c r="H44" i="10"/>
  <c r="D44" i="10"/>
  <c r="C44" i="10"/>
  <c r="R43" i="10"/>
  <c r="Q43" i="10"/>
  <c r="O43" i="10"/>
  <c r="N43" i="10"/>
  <c r="M43" i="10"/>
  <c r="L43" i="10"/>
  <c r="J43" i="10"/>
  <c r="I43" i="10"/>
  <c r="H43" i="10"/>
  <c r="D43" i="10"/>
  <c r="C43" i="10"/>
  <c r="R42" i="10"/>
  <c r="Q42" i="10"/>
  <c r="O42" i="10"/>
  <c r="N42" i="10"/>
  <c r="M42" i="10"/>
  <c r="L42" i="10"/>
  <c r="J42" i="10"/>
  <c r="I42" i="10"/>
  <c r="H42" i="10"/>
  <c r="D42" i="10"/>
  <c r="C42" i="10"/>
  <c r="R41" i="10"/>
  <c r="Q41" i="10"/>
  <c r="O41" i="10"/>
  <c r="N41" i="10"/>
  <c r="M41" i="10"/>
  <c r="L41" i="10"/>
  <c r="J41" i="10"/>
  <c r="I41" i="10"/>
  <c r="H41" i="10"/>
  <c r="D41" i="10"/>
  <c r="C41" i="10"/>
  <c r="R40" i="10"/>
  <c r="Q40" i="10"/>
  <c r="O40" i="10"/>
  <c r="N40" i="10"/>
  <c r="M40" i="10"/>
  <c r="L40" i="10"/>
  <c r="J40" i="10"/>
  <c r="I40" i="10"/>
  <c r="H40" i="10"/>
  <c r="D40" i="10"/>
  <c r="C40" i="10"/>
  <c r="R39" i="10"/>
  <c r="Q39" i="10"/>
  <c r="O39" i="10"/>
  <c r="N39" i="10"/>
  <c r="M39" i="10"/>
  <c r="L39" i="10"/>
  <c r="J39" i="10"/>
  <c r="I39" i="10"/>
  <c r="H39" i="10"/>
  <c r="D39" i="10"/>
  <c r="C39" i="10"/>
  <c r="R38" i="10"/>
  <c r="Q38" i="10"/>
  <c r="O38" i="10"/>
  <c r="N38" i="10"/>
  <c r="M38" i="10"/>
  <c r="L38" i="10"/>
  <c r="J38" i="10"/>
  <c r="I38" i="10"/>
  <c r="H38" i="10"/>
  <c r="D38" i="10"/>
  <c r="C38" i="10"/>
  <c r="R37" i="10"/>
  <c r="Q37" i="10"/>
  <c r="O37" i="10"/>
  <c r="N37" i="10"/>
  <c r="M37" i="10"/>
  <c r="L37" i="10"/>
  <c r="J37" i="10"/>
  <c r="I37" i="10"/>
  <c r="H37" i="10"/>
  <c r="D37" i="10"/>
  <c r="C37" i="10"/>
  <c r="R36" i="10"/>
  <c r="Q36" i="10"/>
  <c r="O36" i="10"/>
  <c r="N36" i="10"/>
  <c r="M36" i="10"/>
  <c r="L36" i="10"/>
  <c r="J36" i="10"/>
  <c r="I36" i="10"/>
  <c r="H36" i="10"/>
  <c r="D36" i="10"/>
  <c r="C36" i="10"/>
  <c r="U26" i="10"/>
  <c r="T26" i="10"/>
  <c r="R26" i="10"/>
  <c r="O26" i="10"/>
  <c r="N26" i="10"/>
  <c r="M26" i="10"/>
  <c r="L26" i="10"/>
  <c r="F26" i="10"/>
  <c r="E26" i="10"/>
  <c r="E28" i="10" s="1"/>
  <c r="D26" i="10"/>
  <c r="D28" i="10" s="1"/>
  <c r="C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I26" i="9"/>
  <c r="O28" i="10" l="1"/>
  <c r="N48" i="10"/>
  <c r="W26" i="10"/>
  <c r="O48" i="10"/>
  <c r="D48" i="10"/>
  <c r="D50" i="10" s="1"/>
  <c r="Q48" i="10"/>
  <c r="H48" i="10"/>
  <c r="R48" i="10"/>
  <c r="R50" i="10" s="1"/>
  <c r="I48" i="10"/>
  <c r="J48" i="10"/>
  <c r="M48" i="10"/>
  <c r="C48" i="10"/>
  <c r="C50" i="10" s="1"/>
  <c r="L48" i="10"/>
  <c r="F28" i="10"/>
  <c r="L26" i="9"/>
  <c r="F48" i="9"/>
  <c r="E48" i="9"/>
  <c r="R47" i="9"/>
  <c r="Q47" i="9"/>
  <c r="O47" i="9"/>
  <c r="N47" i="9"/>
  <c r="M47" i="9"/>
  <c r="L47" i="9"/>
  <c r="J47" i="9"/>
  <c r="I47" i="9"/>
  <c r="H47" i="9"/>
  <c r="D47" i="9"/>
  <c r="C47" i="9"/>
  <c r="R46" i="9"/>
  <c r="Q46" i="9"/>
  <c r="O46" i="9"/>
  <c r="N46" i="9"/>
  <c r="M46" i="9"/>
  <c r="L46" i="9"/>
  <c r="J46" i="9"/>
  <c r="I46" i="9"/>
  <c r="H46" i="9"/>
  <c r="D46" i="9"/>
  <c r="C46" i="9"/>
  <c r="R45" i="9"/>
  <c r="Q45" i="9"/>
  <c r="O45" i="9"/>
  <c r="N45" i="9"/>
  <c r="M45" i="9"/>
  <c r="L45" i="9"/>
  <c r="J45" i="9"/>
  <c r="I45" i="9"/>
  <c r="H45" i="9"/>
  <c r="D45" i="9"/>
  <c r="C45" i="9"/>
  <c r="R44" i="9"/>
  <c r="Q44" i="9"/>
  <c r="O44" i="9"/>
  <c r="N44" i="9"/>
  <c r="M44" i="9"/>
  <c r="L44" i="9"/>
  <c r="J44" i="9"/>
  <c r="I44" i="9"/>
  <c r="H44" i="9"/>
  <c r="D44" i="9"/>
  <c r="C44" i="9"/>
  <c r="R43" i="9"/>
  <c r="Q43" i="9"/>
  <c r="O43" i="9"/>
  <c r="N43" i="9"/>
  <c r="M43" i="9"/>
  <c r="L43" i="9"/>
  <c r="J43" i="9"/>
  <c r="I43" i="9"/>
  <c r="H43" i="9"/>
  <c r="D43" i="9"/>
  <c r="C43" i="9"/>
  <c r="R42" i="9"/>
  <c r="Q42" i="9"/>
  <c r="O42" i="9"/>
  <c r="N42" i="9"/>
  <c r="M42" i="9"/>
  <c r="L42" i="9"/>
  <c r="J42" i="9"/>
  <c r="I42" i="9"/>
  <c r="H42" i="9"/>
  <c r="D42" i="9"/>
  <c r="C42" i="9"/>
  <c r="R41" i="9"/>
  <c r="Q41" i="9"/>
  <c r="O41" i="9"/>
  <c r="N41" i="9"/>
  <c r="M41" i="9"/>
  <c r="L41" i="9"/>
  <c r="J41" i="9"/>
  <c r="I41" i="9"/>
  <c r="H41" i="9"/>
  <c r="D41" i="9"/>
  <c r="C41" i="9"/>
  <c r="R40" i="9"/>
  <c r="Q40" i="9"/>
  <c r="O40" i="9"/>
  <c r="N40" i="9"/>
  <c r="M40" i="9"/>
  <c r="L40" i="9"/>
  <c r="J40" i="9"/>
  <c r="I40" i="9"/>
  <c r="H40" i="9"/>
  <c r="D40" i="9"/>
  <c r="C40" i="9"/>
  <c r="R39" i="9"/>
  <c r="Q39" i="9"/>
  <c r="O39" i="9"/>
  <c r="N39" i="9"/>
  <c r="M39" i="9"/>
  <c r="L39" i="9"/>
  <c r="J39" i="9"/>
  <c r="I39" i="9"/>
  <c r="H39" i="9"/>
  <c r="D39" i="9"/>
  <c r="C39" i="9"/>
  <c r="R38" i="9"/>
  <c r="Q38" i="9"/>
  <c r="O38" i="9"/>
  <c r="N38" i="9"/>
  <c r="M38" i="9"/>
  <c r="L38" i="9"/>
  <c r="J38" i="9"/>
  <c r="I38" i="9"/>
  <c r="H38" i="9"/>
  <c r="D38" i="9"/>
  <c r="C38" i="9"/>
  <c r="R37" i="9"/>
  <c r="Q37" i="9"/>
  <c r="O37" i="9"/>
  <c r="N37" i="9"/>
  <c r="M37" i="9"/>
  <c r="L37" i="9"/>
  <c r="J37" i="9"/>
  <c r="I37" i="9"/>
  <c r="H37" i="9"/>
  <c r="D37" i="9"/>
  <c r="C37" i="9"/>
  <c r="R36" i="9"/>
  <c r="Q36" i="9"/>
  <c r="O36" i="9"/>
  <c r="N36" i="9"/>
  <c r="M36" i="9"/>
  <c r="L36" i="9"/>
  <c r="J36" i="9"/>
  <c r="I36" i="9"/>
  <c r="H36" i="9"/>
  <c r="D36" i="9"/>
  <c r="C36" i="9"/>
  <c r="U26" i="9"/>
  <c r="T26" i="9"/>
  <c r="R26" i="9"/>
  <c r="O26" i="9"/>
  <c r="N26" i="9"/>
  <c r="M26" i="9"/>
  <c r="F26" i="9"/>
  <c r="E26" i="9"/>
  <c r="D26" i="9"/>
  <c r="C26" i="9"/>
  <c r="W25" i="9"/>
  <c r="W24" i="9"/>
  <c r="W23" i="9"/>
  <c r="W22" i="9"/>
  <c r="W21" i="9"/>
  <c r="W20" i="9"/>
  <c r="W19" i="9"/>
  <c r="W18" i="9"/>
  <c r="W17" i="9"/>
  <c r="W16" i="9"/>
  <c r="W15" i="9"/>
  <c r="W14" i="9"/>
  <c r="I26" i="8"/>
  <c r="C45" i="8"/>
  <c r="D45" i="8"/>
  <c r="R47" i="8"/>
  <c r="Q47" i="8"/>
  <c r="O47" i="8"/>
  <c r="N47" i="8"/>
  <c r="M47" i="8"/>
  <c r="L47" i="8"/>
  <c r="R46" i="8"/>
  <c r="Q46" i="8"/>
  <c r="O46" i="8"/>
  <c r="N46" i="8"/>
  <c r="M46" i="8"/>
  <c r="L46" i="8"/>
  <c r="R45" i="8"/>
  <c r="Q45" i="8"/>
  <c r="O45" i="8"/>
  <c r="N45" i="8"/>
  <c r="M45" i="8"/>
  <c r="L45" i="8"/>
  <c r="R44" i="8"/>
  <c r="Q44" i="8"/>
  <c r="O44" i="8"/>
  <c r="N44" i="8"/>
  <c r="M44" i="8"/>
  <c r="L44" i="8"/>
  <c r="R43" i="8"/>
  <c r="Q43" i="8"/>
  <c r="O43" i="8"/>
  <c r="N43" i="8"/>
  <c r="M43" i="8"/>
  <c r="L43" i="8"/>
  <c r="R42" i="8"/>
  <c r="Q42" i="8"/>
  <c r="O42" i="8"/>
  <c r="N42" i="8"/>
  <c r="M42" i="8"/>
  <c r="L42" i="8"/>
  <c r="R41" i="8"/>
  <c r="Q41" i="8"/>
  <c r="O41" i="8"/>
  <c r="N41" i="8"/>
  <c r="M41" i="8"/>
  <c r="L41" i="8"/>
  <c r="R40" i="8"/>
  <c r="Q40" i="8"/>
  <c r="O40" i="8"/>
  <c r="N40" i="8"/>
  <c r="M40" i="8"/>
  <c r="L40" i="8"/>
  <c r="R39" i="8"/>
  <c r="Q39" i="8"/>
  <c r="O39" i="8"/>
  <c r="N39" i="8"/>
  <c r="M39" i="8"/>
  <c r="L39" i="8"/>
  <c r="R38" i="8"/>
  <c r="Q38" i="8"/>
  <c r="O38" i="8"/>
  <c r="N38" i="8"/>
  <c r="M38" i="8"/>
  <c r="L38" i="8"/>
  <c r="R37" i="8"/>
  <c r="Q37" i="8"/>
  <c r="O37" i="8"/>
  <c r="N37" i="8"/>
  <c r="M37" i="8"/>
  <c r="L37" i="8"/>
  <c r="R36" i="8"/>
  <c r="Q36" i="8"/>
  <c r="O36" i="8"/>
  <c r="N36" i="8"/>
  <c r="M36" i="8"/>
  <c r="L36" i="8"/>
  <c r="I26" i="7"/>
  <c r="F48" i="8"/>
  <c r="E48" i="8"/>
  <c r="J47" i="8"/>
  <c r="I47" i="8"/>
  <c r="H47" i="8"/>
  <c r="D47" i="8"/>
  <c r="C47" i="8"/>
  <c r="J46" i="8"/>
  <c r="I46" i="8"/>
  <c r="H46" i="8"/>
  <c r="D46" i="8"/>
  <c r="C46" i="8"/>
  <c r="J45" i="8"/>
  <c r="I45" i="8"/>
  <c r="H45" i="8"/>
  <c r="J44" i="8"/>
  <c r="I44" i="8"/>
  <c r="H44" i="8"/>
  <c r="D44" i="8"/>
  <c r="C44" i="8"/>
  <c r="J43" i="8"/>
  <c r="I43" i="8"/>
  <c r="H43" i="8"/>
  <c r="D43" i="8"/>
  <c r="C43" i="8"/>
  <c r="J42" i="8"/>
  <c r="I42" i="8"/>
  <c r="H42" i="8"/>
  <c r="D42" i="8"/>
  <c r="C42" i="8"/>
  <c r="J41" i="8"/>
  <c r="I41" i="8"/>
  <c r="H41" i="8"/>
  <c r="D41" i="8"/>
  <c r="C41" i="8"/>
  <c r="J40" i="8"/>
  <c r="I40" i="8"/>
  <c r="H40" i="8"/>
  <c r="D40" i="8"/>
  <c r="C40" i="8"/>
  <c r="J39" i="8"/>
  <c r="I39" i="8"/>
  <c r="H39" i="8"/>
  <c r="D39" i="8"/>
  <c r="C39" i="8"/>
  <c r="J38" i="8"/>
  <c r="I38" i="8"/>
  <c r="H38" i="8"/>
  <c r="D38" i="8"/>
  <c r="C38" i="8"/>
  <c r="J37" i="8"/>
  <c r="I37" i="8"/>
  <c r="H37" i="8"/>
  <c r="D37" i="8"/>
  <c r="C37" i="8"/>
  <c r="J36" i="8"/>
  <c r="I36" i="8"/>
  <c r="H36" i="8"/>
  <c r="D36" i="8"/>
  <c r="C36" i="8"/>
  <c r="U26" i="8"/>
  <c r="T26" i="8"/>
  <c r="R26" i="8"/>
  <c r="O26" i="8"/>
  <c r="N26" i="8"/>
  <c r="M26" i="8"/>
  <c r="F26" i="8"/>
  <c r="E26" i="8"/>
  <c r="D26" i="8"/>
  <c r="C26" i="8"/>
  <c r="W25" i="8"/>
  <c r="W24" i="8"/>
  <c r="W23" i="8"/>
  <c r="W22" i="8"/>
  <c r="W21" i="8"/>
  <c r="W20" i="8"/>
  <c r="W19" i="8"/>
  <c r="W18" i="8"/>
  <c r="W17" i="8"/>
  <c r="W16" i="8"/>
  <c r="W15" i="8"/>
  <c r="W14" i="8"/>
  <c r="L50" i="10" l="1"/>
  <c r="H50" i="10"/>
  <c r="Q50" i="10"/>
  <c r="I50" i="10"/>
  <c r="J50" i="10"/>
  <c r="O50" i="10"/>
  <c r="M50" i="10"/>
  <c r="N50" i="10"/>
  <c r="E28" i="9"/>
  <c r="D28" i="9"/>
  <c r="F28" i="9"/>
  <c r="O28" i="9"/>
  <c r="M48" i="9"/>
  <c r="W26" i="9"/>
  <c r="C48" i="9"/>
  <c r="O48" i="9"/>
  <c r="Q48" i="9"/>
  <c r="H48" i="9"/>
  <c r="R48" i="9"/>
  <c r="I48" i="9"/>
  <c r="J48" i="9"/>
  <c r="D48" i="9"/>
  <c r="L48" i="9"/>
  <c r="N48" i="9"/>
  <c r="E28" i="8"/>
  <c r="F28" i="8"/>
  <c r="D28" i="8"/>
  <c r="H48" i="8"/>
  <c r="M48" i="8"/>
  <c r="R48" i="8"/>
  <c r="J48" i="8"/>
  <c r="O48" i="8"/>
  <c r="O28" i="8"/>
  <c r="I48" i="8"/>
  <c r="N48" i="8"/>
  <c r="L48" i="8"/>
  <c r="Q48" i="8"/>
  <c r="W26" i="8"/>
  <c r="C48" i="8"/>
  <c r="D48" i="8"/>
  <c r="H38" i="7"/>
  <c r="D50" i="9" l="1"/>
  <c r="N50" i="9"/>
  <c r="O50" i="9"/>
  <c r="L50" i="9"/>
  <c r="C50" i="9"/>
  <c r="J50" i="9"/>
  <c r="I50" i="9"/>
  <c r="M50" i="9"/>
  <c r="R50" i="9"/>
  <c r="H50" i="9"/>
  <c r="Q50" i="9"/>
  <c r="R50" i="8"/>
  <c r="C50" i="8"/>
  <c r="L50" i="8"/>
  <c r="O50" i="8"/>
  <c r="J50" i="8"/>
  <c r="D50" i="8"/>
  <c r="M50" i="8"/>
  <c r="N50" i="8"/>
  <c r="H50" i="8"/>
  <c r="I50" i="8"/>
  <c r="Q50" i="8"/>
  <c r="R47" i="7"/>
  <c r="Q47" i="7"/>
  <c r="O47" i="7"/>
  <c r="N47" i="7"/>
  <c r="M47" i="7"/>
  <c r="L47" i="7"/>
  <c r="R46" i="7"/>
  <c r="Q46" i="7"/>
  <c r="O46" i="7"/>
  <c r="N46" i="7"/>
  <c r="M46" i="7"/>
  <c r="L46" i="7"/>
  <c r="R45" i="7"/>
  <c r="Q45" i="7"/>
  <c r="O45" i="7"/>
  <c r="N45" i="7"/>
  <c r="M45" i="7"/>
  <c r="L45" i="7"/>
  <c r="R44" i="7"/>
  <c r="Q44" i="7"/>
  <c r="O44" i="7"/>
  <c r="N44" i="7"/>
  <c r="M44" i="7"/>
  <c r="L44" i="7"/>
  <c r="R43" i="7"/>
  <c r="Q43" i="7"/>
  <c r="O43" i="7"/>
  <c r="N43" i="7"/>
  <c r="M43" i="7"/>
  <c r="L43" i="7"/>
  <c r="R42" i="7"/>
  <c r="Q42" i="7"/>
  <c r="O42" i="7"/>
  <c r="N42" i="7"/>
  <c r="M42" i="7"/>
  <c r="L42" i="7"/>
  <c r="R41" i="7"/>
  <c r="Q41" i="7"/>
  <c r="O41" i="7"/>
  <c r="N41" i="7"/>
  <c r="M41" i="7"/>
  <c r="L41" i="7"/>
  <c r="R40" i="7"/>
  <c r="Q40" i="7"/>
  <c r="O40" i="7"/>
  <c r="N40" i="7"/>
  <c r="M40" i="7"/>
  <c r="L40" i="7"/>
  <c r="R39" i="7"/>
  <c r="Q39" i="7"/>
  <c r="O39" i="7"/>
  <c r="N39" i="7"/>
  <c r="M39" i="7"/>
  <c r="L39" i="7"/>
  <c r="R38" i="7"/>
  <c r="R37" i="7"/>
  <c r="R36" i="7"/>
  <c r="Q38" i="7"/>
  <c r="Q37" i="7"/>
  <c r="Q36" i="7"/>
  <c r="O38" i="7"/>
  <c r="O37" i="7"/>
  <c r="O36" i="7"/>
  <c r="N38" i="7"/>
  <c r="N37" i="7"/>
  <c r="N36" i="7"/>
  <c r="M38" i="7"/>
  <c r="M37" i="7"/>
  <c r="M36" i="7"/>
  <c r="L38" i="7"/>
  <c r="L37" i="7"/>
  <c r="L36" i="7"/>
  <c r="J47" i="7"/>
  <c r="J46" i="7"/>
  <c r="J45" i="7"/>
  <c r="J44" i="7"/>
  <c r="J43" i="7"/>
  <c r="J42" i="7"/>
  <c r="J41" i="7"/>
  <c r="J40" i="7"/>
  <c r="J39" i="7"/>
  <c r="J38" i="7"/>
  <c r="J37" i="7"/>
  <c r="J36" i="7"/>
  <c r="I47" i="7"/>
  <c r="I46" i="7"/>
  <c r="I45" i="7"/>
  <c r="I44" i="7"/>
  <c r="I43" i="7"/>
  <c r="I42" i="7"/>
  <c r="I41" i="7"/>
  <c r="I40" i="7"/>
  <c r="I39" i="7"/>
  <c r="I38" i="7"/>
  <c r="I37" i="7"/>
  <c r="I36" i="7"/>
  <c r="H47" i="7"/>
  <c r="H46" i="7"/>
  <c r="H45" i="7"/>
  <c r="H44" i="7"/>
  <c r="H43" i="7"/>
  <c r="H42" i="7"/>
  <c r="H41" i="7"/>
  <c r="H40" i="7"/>
  <c r="H39" i="7"/>
  <c r="H37" i="7"/>
  <c r="H36" i="7"/>
  <c r="D47" i="7"/>
  <c r="D46" i="7"/>
  <c r="D45" i="7"/>
  <c r="D44" i="7"/>
  <c r="D43" i="7"/>
  <c r="D42" i="7"/>
  <c r="D41" i="7"/>
  <c r="C47" i="7"/>
  <c r="C46" i="7"/>
  <c r="C45" i="7"/>
  <c r="C44" i="7"/>
  <c r="C43" i="7"/>
  <c r="C42" i="7"/>
  <c r="C41" i="7"/>
  <c r="D40" i="7"/>
  <c r="D39" i="7"/>
  <c r="D38" i="7"/>
  <c r="D37" i="7"/>
  <c r="D36" i="7"/>
  <c r="C40" i="7"/>
  <c r="C39" i="7"/>
  <c r="C38" i="7"/>
  <c r="C37" i="7"/>
  <c r="C36" i="7"/>
  <c r="T26" i="7" l="1"/>
  <c r="F48" i="7" l="1"/>
  <c r="E48" i="7"/>
  <c r="U26" i="7"/>
  <c r="R26" i="7"/>
  <c r="O26" i="7"/>
  <c r="N26" i="7"/>
  <c r="M26" i="7"/>
  <c r="F26" i="7"/>
  <c r="E26" i="7"/>
  <c r="D26" i="7"/>
  <c r="C26" i="7"/>
  <c r="W25" i="7"/>
  <c r="W24" i="7"/>
  <c r="W23" i="7"/>
  <c r="W22" i="7"/>
  <c r="W21" i="7"/>
  <c r="W20" i="7"/>
  <c r="W19" i="7"/>
  <c r="W18" i="7"/>
  <c r="W17" i="7"/>
  <c r="W16" i="7"/>
  <c r="W15" i="7"/>
  <c r="W14" i="7"/>
  <c r="D28" i="7" l="1"/>
  <c r="W26" i="7"/>
  <c r="O28" i="7"/>
  <c r="I48" i="7"/>
  <c r="N48" i="7"/>
  <c r="J48" i="7"/>
  <c r="H48" i="7"/>
  <c r="R48" i="7"/>
  <c r="E28" i="7"/>
  <c r="C48" i="7"/>
  <c r="C50" i="7" s="1"/>
  <c r="O48" i="7"/>
  <c r="M48" i="7"/>
  <c r="F28" i="7"/>
  <c r="D48" i="7"/>
  <c r="D50" i="7" s="1"/>
  <c r="L48" i="7"/>
  <c r="Q48" i="7"/>
  <c r="I26" i="6"/>
  <c r="I25" i="6"/>
  <c r="L50" i="7" l="1"/>
  <c r="O50" i="7"/>
  <c r="H50" i="7"/>
  <c r="Q50" i="7"/>
  <c r="J50" i="7"/>
  <c r="N50" i="7"/>
  <c r="M50" i="7"/>
  <c r="R50" i="7"/>
  <c r="I50" i="7"/>
  <c r="I24" i="6"/>
  <c r="I23" i="6" l="1"/>
  <c r="I22" i="6" l="1"/>
  <c r="I21" i="6" l="1"/>
  <c r="I20" i="6" l="1"/>
  <c r="I19" i="6" l="1"/>
  <c r="F48" i="6" l="1"/>
  <c r="E48" i="6"/>
  <c r="R47" i="6"/>
  <c r="Q47" i="6"/>
  <c r="O47" i="6"/>
  <c r="N47" i="6"/>
  <c r="M47" i="6"/>
  <c r="L47" i="6"/>
  <c r="J47" i="6"/>
  <c r="I47" i="6"/>
  <c r="H47" i="6"/>
  <c r="D47" i="6"/>
  <c r="C47" i="6"/>
  <c r="R46" i="6"/>
  <c r="Q46" i="6"/>
  <c r="O46" i="6"/>
  <c r="N46" i="6"/>
  <c r="M46" i="6"/>
  <c r="L46" i="6"/>
  <c r="J46" i="6"/>
  <c r="I46" i="6"/>
  <c r="H46" i="6"/>
  <c r="D46" i="6"/>
  <c r="C46" i="6"/>
  <c r="R45" i="6"/>
  <c r="Q45" i="6"/>
  <c r="O45" i="6"/>
  <c r="N45" i="6"/>
  <c r="M45" i="6"/>
  <c r="L45" i="6"/>
  <c r="J45" i="6"/>
  <c r="I45" i="6"/>
  <c r="H45" i="6"/>
  <c r="D45" i="6"/>
  <c r="C45" i="6"/>
  <c r="R44" i="6"/>
  <c r="Q44" i="6"/>
  <c r="O44" i="6"/>
  <c r="N44" i="6"/>
  <c r="M44" i="6"/>
  <c r="L44" i="6"/>
  <c r="J44" i="6"/>
  <c r="I44" i="6"/>
  <c r="H44" i="6"/>
  <c r="D44" i="6"/>
  <c r="C44" i="6"/>
  <c r="R43" i="6"/>
  <c r="Q43" i="6"/>
  <c r="O43" i="6"/>
  <c r="N43" i="6"/>
  <c r="M43" i="6"/>
  <c r="L43" i="6"/>
  <c r="J43" i="6"/>
  <c r="I43" i="6"/>
  <c r="H43" i="6"/>
  <c r="D43" i="6"/>
  <c r="C43" i="6"/>
  <c r="R42" i="6"/>
  <c r="Q42" i="6"/>
  <c r="O42" i="6"/>
  <c r="N42" i="6"/>
  <c r="M42" i="6"/>
  <c r="L42" i="6"/>
  <c r="J42" i="6"/>
  <c r="I42" i="6"/>
  <c r="H42" i="6"/>
  <c r="D42" i="6"/>
  <c r="C42" i="6"/>
  <c r="R41" i="6"/>
  <c r="Q41" i="6"/>
  <c r="O41" i="6"/>
  <c r="N41" i="6"/>
  <c r="M41" i="6"/>
  <c r="L41" i="6"/>
  <c r="J41" i="6"/>
  <c r="I41" i="6"/>
  <c r="H41" i="6"/>
  <c r="D41" i="6"/>
  <c r="C41" i="6"/>
  <c r="R40" i="6"/>
  <c r="Q40" i="6"/>
  <c r="O40" i="6"/>
  <c r="N40" i="6"/>
  <c r="M40" i="6"/>
  <c r="L40" i="6"/>
  <c r="J40" i="6"/>
  <c r="I40" i="6"/>
  <c r="H40" i="6"/>
  <c r="D40" i="6"/>
  <c r="C40" i="6"/>
  <c r="R39" i="6"/>
  <c r="Q39" i="6"/>
  <c r="O39" i="6"/>
  <c r="N39" i="6"/>
  <c r="M39" i="6"/>
  <c r="L39" i="6"/>
  <c r="J39" i="6"/>
  <c r="I39" i="6"/>
  <c r="H39" i="6"/>
  <c r="D39" i="6"/>
  <c r="C39" i="6"/>
  <c r="R38" i="6"/>
  <c r="Q38" i="6"/>
  <c r="O38" i="6"/>
  <c r="N38" i="6"/>
  <c r="M38" i="6"/>
  <c r="L38" i="6"/>
  <c r="J38" i="6"/>
  <c r="I38" i="6"/>
  <c r="H38" i="6"/>
  <c r="D38" i="6"/>
  <c r="C38" i="6"/>
  <c r="R37" i="6"/>
  <c r="Q37" i="6"/>
  <c r="O37" i="6"/>
  <c r="N37" i="6"/>
  <c r="M37" i="6"/>
  <c r="L37" i="6"/>
  <c r="J37" i="6"/>
  <c r="I37" i="6"/>
  <c r="H37" i="6"/>
  <c r="D37" i="6"/>
  <c r="C37" i="6"/>
  <c r="R36" i="6"/>
  <c r="Q36" i="6"/>
  <c r="O36" i="6"/>
  <c r="N36" i="6"/>
  <c r="M36" i="6"/>
  <c r="L36" i="6"/>
  <c r="J36" i="6"/>
  <c r="I36" i="6"/>
  <c r="H36" i="6"/>
  <c r="D36" i="6"/>
  <c r="C36" i="6"/>
  <c r="T26" i="6"/>
  <c r="R26" i="6"/>
  <c r="O26" i="6"/>
  <c r="N26" i="6"/>
  <c r="M26" i="6"/>
  <c r="F26" i="6"/>
  <c r="E26" i="6"/>
  <c r="D26" i="6"/>
  <c r="C26" i="6"/>
  <c r="V25" i="6"/>
  <c r="V24" i="6"/>
  <c r="V23" i="6"/>
  <c r="V22" i="6"/>
  <c r="V21" i="6"/>
  <c r="V20" i="6"/>
  <c r="V19" i="6"/>
  <c r="V18" i="6"/>
  <c r="V17" i="6"/>
  <c r="V16" i="6"/>
  <c r="V15" i="6"/>
  <c r="V14" i="6"/>
  <c r="V26" i="6" l="1"/>
  <c r="F28" i="6"/>
  <c r="D28" i="6"/>
  <c r="N48" i="6"/>
  <c r="E28" i="6"/>
  <c r="O28" i="6"/>
  <c r="C48" i="6"/>
  <c r="J48" i="6"/>
  <c r="O48" i="6"/>
  <c r="H48" i="6"/>
  <c r="M48" i="6"/>
  <c r="R48" i="6"/>
  <c r="I48" i="6"/>
  <c r="D48" i="6"/>
  <c r="L48" i="6"/>
  <c r="Q48" i="6"/>
  <c r="D47" i="4"/>
  <c r="C47" i="4"/>
  <c r="R47" i="4"/>
  <c r="Q47" i="4"/>
  <c r="O47" i="4"/>
  <c r="N47" i="4"/>
  <c r="M47" i="4"/>
  <c r="L47" i="4"/>
  <c r="J47" i="4"/>
  <c r="I47" i="4"/>
  <c r="H47" i="4"/>
  <c r="L50" i="6" l="1"/>
  <c r="M50" i="6"/>
  <c r="C50" i="6"/>
  <c r="Q50" i="6"/>
  <c r="D50" i="6"/>
  <c r="H50" i="6"/>
  <c r="I50" i="6"/>
  <c r="O50" i="6"/>
  <c r="R50" i="6"/>
  <c r="J50" i="6"/>
  <c r="N50" i="6"/>
  <c r="R46" i="4"/>
  <c r="Q46" i="4"/>
  <c r="O46" i="4"/>
  <c r="N46" i="4"/>
  <c r="M46" i="4"/>
  <c r="L46" i="4"/>
  <c r="J46" i="4"/>
  <c r="I46" i="4"/>
  <c r="H46" i="4"/>
  <c r="D46" i="4"/>
  <c r="C46" i="4"/>
  <c r="R44" i="4" l="1"/>
  <c r="Q44" i="4"/>
  <c r="O44" i="4"/>
  <c r="N44" i="4"/>
  <c r="M44" i="4"/>
  <c r="L44" i="4"/>
  <c r="J44" i="4"/>
  <c r="I44" i="4"/>
  <c r="H44" i="4"/>
  <c r="D44" i="4"/>
  <c r="C44" i="4"/>
  <c r="R43" i="4" l="1"/>
  <c r="Q43" i="4"/>
  <c r="O43" i="4"/>
  <c r="N43" i="4"/>
  <c r="M43" i="4"/>
  <c r="L43" i="4"/>
  <c r="J43" i="4"/>
  <c r="I43" i="4"/>
  <c r="H43" i="4"/>
  <c r="D43" i="4"/>
  <c r="C43" i="4"/>
  <c r="R42" i="4" l="1"/>
  <c r="Q42" i="4"/>
  <c r="O42" i="4"/>
  <c r="N42" i="4"/>
  <c r="M42" i="4"/>
  <c r="L42" i="4"/>
  <c r="J42" i="4"/>
  <c r="I42" i="4"/>
  <c r="H42" i="4"/>
  <c r="D42" i="4"/>
  <c r="C42" i="4"/>
  <c r="T26" i="4" l="1"/>
  <c r="F48" i="5"/>
  <c r="E48" i="5"/>
  <c r="R47" i="5"/>
  <c r="Q47" i="5"/>
  <c r="O47" i="5"/>
  <c r="N47" i="5"/>
  <c r="M47" i="5"/>
  <c r="L47" i="5"/>
  <c r="J47" i="5"/>
  <c r="I47" i="5"/>
  <c r="H47" i="5"/>
  <c r="D47" i="5"/>
  <c r="C47" i="5"/>
  <c r="R46" i="5"/>
  <c r="Q46" i="5"/>
  <c r="O46" i="5"/>
  <c r="N46" i="5"/>
  <c r="M46" i="5"/>
  <c r="L46" i="5"/>
  <c r="J46" i="5"/>
  <c r="I46" i="5"/>
  <c r="H46" i="5"/>
  <c r="D46" i="5"/>
  <c r="C46" i="5"/>
  <c r="R45" i="5"/>
  <c r="Q45" i="5"/>
  <c r="O45" i="5"/>
  <c r="N45" i="5"/>
  <c r="M45" i="5"/>
  <c r="L45" i="5"/>
  <c r="J45" i="5"/>
  <c r="I45" i="5"/>
  <c r="H45" i="5"/>
  <c r="D45" i="5"/>
  <c r="C45" i="5"/>
  <c r="R44" i="5"/>
  <c r="Q44" i="5"/>
  <c r="O44" i="5"/>
  <c r="N44" i="5"/>
  <c r="M44" i="5"/>
  <c r="L44" i="5"/>
  <c r="J44" i="5"/>
  <c r="I44" i="5"/>
  <c r="H44" i="5"/>
  <c r="D44" i="5"/>
  <c r="C44" i="5"/>
  <c r="R43" i="5"/>
  <c r="Q43" i="5"/>
  <c r="O43" i="5"/>
  <c r="N43" i="5"/>
  <c r="M43" i="5"/>
  <c r="L43" i="5"/>
  <c r="J43" i="5"/>
  <c r="I43" i="5"/>
  <c r="H43" i="5"/>
  <c r="D43" i="5"/>
  <c r="C43" i="5"/>
  <c r="R42" i="5"/>
  <c r="Q42" i="5"/>
  <c r="O42" i="5"/>
  <c r="N42" i="5"/>
  <c r="M42" i="5"/>
  <c r="L42" i="5"/>
  <c r="J42" i="5"/>
  <c r="I42" i="5"/>
  <c r="H42" i="5"/>
  <c r="D42" i="5"/>
  <c r="C42" i="5"/>
  <c r="R41" i="5"/>
  <c r="Q41" i="5"/>
  <c r="O41" i="5"/>
  <c r="N41" i="5"/>
  <c r="M41" i="5"/>
  <c r="L41" i="5"/>
  <c r="J41" i="5"/>
  <c r="I41" i="5"/>
  <c r="H41" i="5"/>
  <c r="D41" i="5"/>
  <c r="C41" i="5"/>
  <c r="R40" i="5"/>
  <c r="Q40" i="5"/>
  <c r="O40" i="5"/>
  <c r="N40" i="5"/>
  <c r="M40" i="5"/>
  <c r="L40" i="5"/>
  <c r="J40" i="5"/>
  <c r="I40" i="5"/>
  <c r="H40" i="5"/>
  <c r="D40" i="5"/>
  <c r="C40" i="5"/>
  <c r="R39" i="5"/>
  <c r="Q39" i="5"/>
  <c r="O39" i="5"/>
  <c r="N39" i="5"/>
  <c r="M39" i="5"/>
  <c r="L39" i="5"/>
  <c r="J39" i="5"/>
  <c r="I39" i="5"/>
  <c r="H39" i="5"/>
  <c r="D39" i="5"/>
  <c r="C39" i="5"/>
  <c r="R38" i="5"/>
  <c r="Q38" i="5"/>
  <c r="O38" i="5"/>
  <c r="N38" i="5"/>
  <c r="M38" i="5"/>
  <c r="L38" i="5"/>
  <c r="J38" i="5"/>
  <c r="I38" i="5"/>
  <c r="H38" i="5"/>
  <c r="D38" i="5"/>
  <c r="C38" i="5"/>
  <c r="R37" i="5"/>
  <c r="Q37" i="5"/>
  <c r="O37" i="5"/>
  <c r="N37" i="5"/>
  <c r="M37" i="5"/>
  <c r="L37" i="5"/>
  <c r="J37" i="5"/>
  <c r="I37" i="5"/>
  <c r="H37" i="5"/>
  <c r="D37" i="5"/>
  <c r="C37" i="5"/>
  <c r="R36" i="5"/>
  <c r="Q36" i="5"/>
  <c r="O36" i="5"/>
  <c r="N36" i="5"/>
  <c r="N48" i="5" s="1"/>
  <c r="M36" i="5"/>
  <c r="L36" i="5"/>
  <c r="J36" i="5"/>
  <c r="I36" i="5"/>
  <c r="I48" i="5" s="1"/>
  <c r="H36" i="5"/>
  <c r="D36" i="5"/>
  <c r="C36" i="5"/>
  <c r="R26" i="5"/>
  <c r="O26" i="5"/>
  <c r="O28" i="5" s="1"/>
  <c r="N26" i="5"/>
  <c r="M26" i="5"/>
  <c r="F26" i="5"/>
  <c r="F28" i="5" s="1"/>
  <c r="E26" i="5"/>
  <c r="E28" i="5" s="1"/>
  <c r="D26" i="5"/>
  <c r="D28" i="5" s="1"/>
  <c r="C26" i="5"/>
  <c r="T25" i="5"/>
  <c r="T24" i="5"/>
  <c r="T23" i="5"/>
  <c r="T22" i="5"/>
  <c r="T21" i="5"/>
  <c r="T20" i="5"/>
  <c r="T19" i="5"/>
  <c r="T18" i="5"/>
  <c r="T17" i="5"/>
  <c r="T16" i="5"/>
  <c r="T15" i="5"/>
  <c r="T14" i="5"/>
  <c r="T26" i="5" l="1"/>
  <c r="C48" i="5"/>
  <c r="C50" i="5" s="1"/>
  <c r="J48" i="5"/>
  <c r="J50" i="5" s="1"/>
  <c r="O48" i="5"/>
  <c r="D48" i="5"/>
  <c r="I50" i="5" s="1"/>
  <c r="L48" i="5"/>
  <c r="L50" i="5" s="1"/>
  <c r="Q48" i="5"/>
  <c r="Q50" i="5" s="1"/>
  <c r="H48" i="5"/>
  <c r="H50" i="5" s="1"/>
  <c r="M48" i="5"/>
  <c r="M50" i="5" s="1"/>
  <c r="R48" i="5"/>
  <c r="R50" i="5" s="1"/>
  <c r="O50" i="5"/>
  <c r="D50" i="5"/>
  <c r="R37" i="4"/>
  <c r="R38" i="4"/>
  <c r="R39" i="4"/>
  <c r="R40" i="4"/>
  <c r="R41" i="4"/>
  <c r="R45" i="4"/>
  <c r="R36" i="4"/>
  <c r="Q37" i="4"/>
  <c r="Q38" i="4"/>
  <c r="Q39" i="4"/>
  <c r="Q40" i="4"/>
  <c r="Q41" i="4"/>
  <c r="Q45" i="4"/>
  <c r="Q36" i="4"/>
  <c r="O37" i="4"/>
  <c r="O38" i="4"/>
  <c r="O39" i="4"/>
  <c r="O40" i="4"/>
  <c r="O41" i="4"/>
  <c r="O45" i="4"/>
  <c r="O36" i="4"/>
  <c r="N37" i="4"/>
  <c r="N38" i="4"/>
  <c r="N39" i="4"/>
  <c r="N40" i="4"/>
  <c r="N41" i="4"/>
  <c r="N45" i="4"/>
  <c r="N36" i="4"/>
  <c r="M37" i="4"/>
  <c r="M38" i="4"/>
  <c r="M39" i="4"/>
  <c r="M40" i="4"/>
  <c r="M41" i="4"/>
  <c r="M45" i="4"/>
  <c r="M36" i="4"/>
  <c r="L37" i="4"/>
  <c r="L38" i="4"/>
  <c r="L39" i="4"/>
  <c r="L40" i="4"/>
  <c r="L41" i="4"/>
  <c r="L45" i="4"/>
  <c r="L36" i="4"/>
  <c r="J37" i="4"/>
  <c r="J38" i="4"/>
  <c r="J39" i="4"/>
  <c r="J40" i="4"/>
  <c r="J41" i="4"/>
  <c r="J45" i="4"/>
  <c r="J36" i="4"/>
  <c r="I37" i="4"/>
  <c r="I38" i="4"/>
  <c r="I39" i="4"/>
  <c r="I40" i="4"/>
  <c r="I41" i="4"/>
  <c r="I45" i="4"/>
  <c r="I36" i="4"/>
  <c r="H37" i="4"/>
  <c r="H38" i="4"/>
  <c r="H39" i="4"/>
  <c r="H40" i="4"/>
  <c r="H41" i="4"/>
  <c r="H45" i="4"/>
  <c r="H36" i="4"/>
  <c r="D37" i="4"/>
  <c r="D38" i="4"/>
  <c r="D39" i="4"/>
  <c r="D40" i="4"/>
  <c r="D41" i="4"/>
  <c r="D45" i="4"/>
  <c r="D36" i="4"/>
  <c r="C37" i="4"/>
  <c r="C38" i="4"/>
  <c r="C39" i="4"/>
  <c r="C40" i="4"/>
  <c r="C41" i="4"/>
  <c r="C45" i="4"/>
  <c r="C36" i="4"/>
  <c r="V15" i="4"/>
  <c r="V16" i="4"/>
  <c r="V17" i="4"/>
  <c r="V18" i="4"/>
  <c r="V19" i="4"/>
  <c r="V20" i="4"/>
  <c r="V21" i="4"/>
  <c r="V22" i="4"/>
  <c r="V23" i="4"/>
  <c r="V24" i="4"/>
  <c r="V25" i="4"/>
  <c r="V14" i="4"/>
  <c r="N50" i="5" l="1"/>
  <c r="F48" i="4"/>
  <c r="E48" i="4"/>
  <c r="R48" i="4"/>
  <c r="N48" i="4"/>
  <c r="M48" i="4"/>
  <c r="I48" i="4"/>
  <c r="H48" i="4"/>
  <c r="Q48" i="4"/>
  <c r="O48" i="4"/>
  <c r="L48" i="4"/>
  <c r="J48" i="4"/>
  <c r="D48" i="4"/>
  <c r="C48" i="4"/>
  <c r="R26" i="4"/>
  <c r="O26" i="4"/>
  <c r="N26" i="4"/>
  <c r="M26" i="4"/>
  <c r="F26" i="4"/>
  <c r="E26" i="4"/>
  <c r="D26" i="4"/>
  <c r="C26" i="4"/>
  <c r="V26" i="4"/>
  <c r="D28" i="4" l="1"/>
  <c r="F28" i="4"/>
  <c r="E28" i="4"/>
  <c r="O28" i="4"/>
  <c r="J50" i="4"/>
  <c r="O50" i="4"/>
  <c r="H50" i="4"/>
  <c r="M50" i="4"/>
  <c r="R50" i="4"/>
  <c r="C50" i="4"/>
  <c r="D50" i="4"/>
  <c r="L50" i="4"/>
  <c r="Q50" i="4"/>
  <c r="I50" i="4"/>
  <c r="N50" i="4"/>
</calcChain>
</file>

<file path=xl/sharedStrings.xml><?xml version="1.0" encoding="utf-8"?>
<sst xmlns="http://schemas.openxmlformats.org/spreadsheetml/2006/main" count="691" uniqueCount="83">
  <si>
    <t>Resorts World Catskills</t>
  </si>
  <si>
    <t>888 Resorts World Drive</t>
  </si>
  <si>
    <t>Monticello, NY 12701</t>
  </si>
  <si>
    <t>www.rwcatskills.com</t>
  </si>
  <si>
    <t>(833) 586-9358</t>
  </si>
  <si>
    <t>Total Gross Gaming Revenue (GGR) - Fiscal Year 2018/2019</t>
  </si>
  <si>
    <t>Slot/ETG's</t>
  </si>
  <si>
    <t>Table Games</t>
  </si>
  <si>
    <t>Poker Tables</t>
  </si>
  <si>
    <t>Promotional</t>
  </si>
  <si>
    <t>Avg Daily</t>
  </si>
  <si>
    <t xml:space="preserve"> </t>
  </si>
  <si>
    <t>Credits</t>
  </si>
  <si>
    <t>Slot Gaming</t>
  </si>
  <si>
    <t>Slot &amp; ETG</t>
  </si>
  <si>
    <t>Slots &amp;</t>
  </si>
  <si>
    <t>Win/Unit</t>
  </si>
  <si>
    <t>Table Game</t>
  </si>
  <si>
    <t>Poker Table</t>
  </si>
  <si>
    <t>Month</t>
  </si>
  <si>
    <t>Played</t>
  </si>
  <si>
    <t>Won</t>
  </si>
  <si>
    <t>GGR</t>
  </si>
  <si>
    <t>ETG's</t>
  </si>
  <si>
    <t>per Day</t>
  </si>
  <si>
    <t>Tables</t>
  </si>
  <si>
    <t>Drop</t>
  </si>
  <si>
    <t>Total GGR</t>
  </si>
  <si>
    <t>Total</t>
  </si>
  <si>
    <t>Distribution of Total Gross Gaming Revenue per Legislation</t>
  </si>
  <si>
    <t>Distribution of Gaming Tax</t>
  </si>
  <si>
    <t>Prior Period</t>
  </si>
  <si>
    <t>Education/</t>
  </si>
  <si>
    <t>Host Muni</t>
  </si>
  <si>
    <t>Host County</t>
  </si>
  <si>
    <t>Net Revenue</t>
  </si>
  <si>
    <t>Unclaimed</t>
  </si>
  <si>
    <t>Adjustments</t>
  </si>
  <si>
    <t>Property Tax</t>
  </si>
  <si>
    <t>Town of</t>
  </si>
  <si>
    <t>Sullivan</t>
  </si>
  <si>
    <t>Non-host Counties within the Region</t>
  </si>
  <si>
    <t>to Operator</t>
  </si>
  <si>
    <t>Gaming Tax</t>
  </si>
  <si>
    <t>Funds</t>
  </si>
  <si>
    <t>Fines &amp; Penalties</t>
  </si>
  <si>
    <t>Relief</t>
  </si>
  <si>
    <t>Thompson</t>
  </si>
  <si>
    <t>County</t>
  </si>
  <si>
    <t>Columbia</t>
  </si>
  <si>
    <t>Delaware</t>
  </si>
  <si>
    <t>Dutchess</t>
  </si>
  <si>
    <t>Greene</t>
  </si>
  <si>
    <t>Orange</t>
  </si>
  <si>
    <t>Ulster</t>
  </si>
  <si>
    <t>Notes:</t>
  </si>
  <si>
    <t xml:space="preserve">1) The gaming tax of 39% on Slot/ETG revenue, 10% on Table Game revenue, prior period adjustments, fines, and penalties, are allocated 80% to Education/Property Tax Relief, 10% split equally between the host municipality </t>
  </si>
  <si>
    <t xml:space="preserve">and host county, and 10% split among non-host counties within the region on a per capita basis. </t>
  </si>
  <si>
    <t>2) Distributions to municipalities and counties are made by the Gaming Commission on a quarterly basis.</t>
  </si>
  <si>
    <t>3) Adjustments, Fines, and Penalties are comprised of gaming tax audit adjustments, fines, and penalties due to the Commercial Gaming Revenue Fund pursuant to Racing, Pari-Mutuel Wagering and Breeding Law.</t>
  </si>
  <si>
    <t xml:space="preserve"> Fines due to OASAS are not included in these figures. </t>
  </si>
  <si>
    <t>4) The minimum number of table games in each facility license is verified by combining the total Average Daily Tables &amp; Average Daily Poker Tables on a weekly basis. Fluctuations may occur.</t>
  </si>
  <si>
    <t>Total Gross Gaming Revenue (GGR) - Fiscal Year 2017/2018</t>
  </si>
  <si>
    <t xml:space="preserve">Progressive </t>
  </si>
  <si>
    <t>Adjustment</t>
  </si>
  <si>
    <t xml:space="preserve">3) Prior period adjustments are comprised of gaming tax audit adjustments  in which the adjustment occurs subsequent to the close of the month in which the event occured. </t>
  </si>
  <si>
    <t xml:space="preserve">    Fines and penalties are comprised of amounts received in the period. Fines distributed to OASAS are not included in these figures. </t>
  </si>
  <si>
    <t>Sports 
Wagering</t>
  </si>
  <si>
    <t xml:space="preserve">Sports  </t>
  </si>
  <si>
    <t>Wagering</t>
  </si>
  <si>
    <t>Total Gross Gaming Revenue (GGR) - Fiscal Year 2019/2020</t>
  </si>
  <si>
    <t>5) Sports wagering gross gaming revenue is reported on a cash basis in New York State. Wagers on future events are taxed as current revenue and payouts for winning wagers are recognized in the period redeemed.</t>
  </si>
  <si>
    <t xml:space="preserve">Report compiled by the New York State Gaming Commission based on data provided by Resorts World Catskills </t>
  </si>
  <si>
    <t xml:space="preserve">1) The gaming tax of 39% on Slot/ETG revenue, 10% on Table Game and Sports Wagering revenue, prior period adjustments, fines, and penalties, are allocated 80% to Education/Property Tax Relief, 10% split equally between the host municipality </t>
  </si>
  <si>
    <t>Total Gross Gaming Revenue (GGR) - Fiscal Year 2020/2021</t>
  </si>
  <si>
    <t>Total Gross Gaming Revenue (GGR) - Fiscal Year 2021/2022</t>
  </si>
  <si>
    <t>Handle</t>
  </si>
  <si>
    <t xml:space="preserve">1) The gaming tax of 30% on Slot/ETG revenue, 10% on Table Game and Sports Wagering revenue, prior period adjustments, fines, and penalties, are allocated 80% to Education/Property Tax Relief, 10% split equally between the host municipality </t>
  </si>
  <si>
    <t>Total Gross Gaming Revenue (GGR) - Fiscal Year 2022/2023</t>
  </si>
  <si>
    <t>\</t>
  </si>
  <si>
    <t>Total Gross Gaming Revenue (GGR) - Fiscal Year 2023/2024</t>
  </si>
  <si>
    <t xml:space="preserve">1) The gaming tax of 30% on Slot/ETG revenue, 10% on Table Game and Sports Wagering revenue, prior period adjustments, fines, penalties, and unclaimed funds are allocated 80% to Education/Property Tax Relief, 10% split equally between the host municipality </t>
  </si>
  <si>
    <t>Total Gross Gaming Revenue (GGR) -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</si>
</sst>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0;\-0;;@"/>
    <numFmt numFmtId="166" formatCode=";;;"/>
    <numFmt numFmtId="167" formatCode="0.00%_);[Red]\(0.00%\)"/>
    <numFmt numFmtId="168" formatCode="0.00_);[Red]\(0.00\)"/>
    <numFmt numFmtId="169" formatCode="0_);\(0\)"/>
    <numFmt numFmtId="170" formatCode="0_);[Red]\(0\)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6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6" fontId="7" fillId="0" borderId="4" xfId="0" applyNumberFormat="1" applyFont="1" applyBorder="1" applyAlignment="1">
      <alignment horizontal="center"/>
    </xf>
    <xf numFmtId="6" fontId="7" fillId="0" borderId="0" xfId="0" applyNumberFormat="1" applyFont="1" applyAlignment="1">
      <alignment horizontal="center"/>
    </xf>
    <xf numFmtId="6" fontId="7" fillId="0" borderId="0" xfId="0" applyNumberFormat="1" applyFont="1" applyBorder="1" applyAlignment="1"/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6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6" fontId="9" fillId="0" borderId="5" xfId="0" applyNumberFormat="1" applyFont="1" applyBorder="1" applyAlignment="1">
      <alignment horizontal="center"/>
    </xf>
    <xf numFmtId="38" fontId="9" fillId="0" borderId="5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5" fontId="0" fillId="0" borderId="0" xfId="0" applyNumberFormat="1" applyAlignment="1"/>
    <xf numFmtId="37" fontId="0" fillId="0" borderId="0" xfId="0" applyNumberFormat="1" applyAlignment="1"/>
    <xf numFmtId="6" fontId="0" fillId="0" borderId="0" xfId="0" applyNumberFormat="1" applyAlignment="1"/>
    <xf numFmtId="165" fontId="0" fillId="0" borderId="0" xfId="0" applyNumberFormat="1" applyAlignment="1"/>
    <xf numFmtId="38" fontId="0" fillId="0" borderId="0" xfId="0" applyNumberFormat="1" applyAlignment="1"/>
    <xf numFmtId="0" fontId="0" fillId="0" borderId="0" xfId="0" applyNumberFormat="1" applyAlignment="1"/>
    <xf numFmtId="166" fontId="0" fillId="0" borderId="0" xfId="0" applyNumberFormat="1" applyAlignment="1"/>
    <xf numFmtId="5" fontId="0" fillId="0" borderId="6" xfId="0" applyNumberFormat="1" applyBorder="1" applyAlignment="1"/>
    <xf numFmtId="37" fontId="0" fillId="0" borderId="6" xfId="0" applyNumberFormat="1" applyBorder="1" applyAlignment="1"/>
    <xf numFmtId="5" fontId="0" fillId="0" borderId="0" xfId="0" applyNumberFormat="1" applyBorder="1" applyAlignment="1"/>
    <xf numFmtId="165" fontId="0" fillId="0" borderId="6" xfId="0" applyNumberFormat="1" applyBorder="1" applyAlignment="1"/>
    <xf numFmtId="0" fontId="0" fillId="0" borderId="6" xfId="0" applyNumberFormat="1" applyFill="1" applyBorder="1" applyAlignment="1"/>
    <xf numFmtId="6" fontId="0" fillId="0" borderId="0" xfId="0" applyNumberFormat="1" applyBorder="1" applyAlignment="1"/>
    <xf numFmtId="38" fontId="0" fillId="0" borderId="0" xfId="0" applyNumberFormat="1" applyBorder="1" applyAlignment="1"/>
    <xf numFmtId="167" fontId="0" fillId="0" borderId="0" xfId="0" applyNumberFormat="1" applyAlignment="1">
      <alignment horizontal="center"/>
    </xf>
    <xf numFmtId="167" fontId="0" fillId="0" borderId="0" xfId="0" applyNumberFormat="1" applyBorder="1" applyAlignment="1"/>
    <xf numFmtId="10" fontId="0" fillId="0" borderId="0" xfId="0" applyNumberFormat="1" applyFill="1" applyBorder="1" applyAlignment="1"/>
    <xf numFmtId="167" fontId="0" fillId="0" borderId="0" xfId="0" applyNumberFormat="1" applyAlignment="1"/>
    <xf numFmtId="164" fontId="7" fillId="0" borderId="0" xfId="0" applyNumberFormat="1" applyFont="1" applyFill="1" applyBorder="1" applyAlignment="1">
      <alignment horizontal="center"/>
    </xf>
    <xf numFmtId="167" fontId="0" fillId="0" borderId="0" xfId="0" applyNumberFormat="1" applyFill="1" applyAlignment="1"/>
    <xf numFmtId="164" fontId="7" fillId="0" borderId="4" xfId="0" applyNumberFormat="1" applyFont="1" applyFill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6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167" fontId="9" fillId="0" borderId="5" xfId="0" applyNumberFormat="1" applyFont="1" applyBorder="1" applyAlignment="1">
      <alignment horizontal="center"/>
    </xf>
    <xf numFmtId="6" fontId="9" fillId="0" borderId="5" xfId="0" applyNumberFormat="1" applyFont="1" applyFill="1" applyBorder="1" applyAlignment="1">
      <alignment horizontal="center"/>
    </xf>
    <xf numFmtId="167" fontId="9" fillId="0" borderId="5" xfId="0" applyNumberFormat="1" applyFont="1" applyFill="1" applyBorder="1" applyAlignment="1">
      <alignment horizontal="center"/>
    </xf>
    <xf numFmtId="167" fontId="9" fillId="0" borderId="7" xfId="0" applyNumberFormat="1" applyFont="1" applyFill="1" applyBorder="1" applyAlignment="1">
      <alignment horizontal="center"/>
    </xf>
    <xf numFmtId="167" fontId="9" fillId="0" borderId="2" xfId="0" applyNumberFormat="1" applyFont="1" applyBorder="1" applyAlignment="1">
      <alignment horizontal="center"/>
    </xf>
    <xf numFmtId="5" fontId="0" fillId="0" borderId="7" xfId="0" applyNumberFormat="1" applyBorder="1" applyAlignment="1"/>
    <xf numFmtId="8" fontId="0" fillId="0" borderId="0" xfId="0" applyNumberFormat="1" applyAlignment="1"/>
    <xf numFmtId="166" fontId="0" fillId="0" borderId="0" xfId="0" applyNumberFormat="1" applyBorder="1" applyAlignment="1"/>
    <xf numFmtId="6" fontId="0" fillId="0" borderId="6" xfId="0" applyNumberFormat="1" applyBorder="1" applyAlignment="1"/>
    <xf numFmtId="167" fontId="10" fillId="0" borderId="0" xfId="0" applyNumberFormat="1" applyFont="1" applyAlignment="1">
      <alignment horizontal="left"/>
    </xf>
    <xf numFmtId="167" fontId="11" fillId="0" borderId="0" xfId="0" applyNumberFormat="1" applyFont="1" applyFill="1" applyAlignment="1">
      <alignment horizontal="left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Fill="1" applyBorder="1" applyAlignment="1"/>
    <xf numFmtId="168" fontId="0" fillId="0" borderId="0" xfId="0" applyNumberFormat="1" applyFill="1" applyBorder="1" applyAlignment="1"/>
    <xf numFmtId="8" fontId="0" fillId="0" borderId="0" xfId="0" applyNumberFormat="1" applyFill="1" applyBorder="1" applyAlignment="1"/>
    <xf numFmtId="8" fontId="0" fillId="0" borderId="0" xfId="0" applyNumberFormat="1" applyFill="1" applyAlignment="1"/>
    <xf numFmtId="167" fontId="11" fillId="0" borderId="0" xfId="0" applyNumberFormat="1" applyFont="1" applyFill="1" applyAlignment="1">
      <alignment horizontal="left" wrapText="1"/>
    </xf>
    <xf numFmtId="167" fontId="11" fillId="0" borderId="0" xfId="0" applyNumberFormat="1" applyFont="1" applyFill="1" applyAlignment="1"/>
    <xf numFmtId="167" fontId="11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 wrapText="1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166" fontId="0" fillId="0" borderId="7" xfId="0" applyNumberFormat="1" applyBorder="1" applyAlignment="1"/>
    <xf numFmtId="167" fontId="9" fillId="0" borderId="5" xfId="0" applyNumberFormat="1" applyFont="1" applyFill="1" applyBorder="1" applyAlignment="1">
      <alignment horizontal="center"/>
    </xf>
    <xf numFmtId="6" fontId="7" fillId="0" borderId="0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/>
    </xf>
    <xf numFmtId="38" fontId="0" fillId="0" borderId="6" xfId="0" applyNumberFormat="1" applyBorder="1" applyAlignment="1"/>
    <xf numFmtId="0" fontId="12" fillId="0" borderId="0" xfId="0" applyFont="1"/>
    <xf numFmtId="167" fontId="9" fillId="0" borderId="5" xfId="0" applyNumberFormat="1" applyFont="1" applyFill="1" applyBorder="1" applyAlignment="1">
      <alignment horizontal="center"/>
    </xf>
    <xf numFmtId="169" fontId="0" fillId="0" borderId="0" xfId="0" applyNumberFormat="1" applyAlignment="1"/>
    <xf numFmtId="167" fontId="9" fillId="0" borderId="5" xfId="0" applyNumberFormat="1" applyFont="1" applyFill="1" applyBorder="1" applyAlignment="1">
      <alignment horizontal="center"/>
    </xf>
    <xf numFmtId="170" fontId="0" fillId="0" borderId="6" xfId="0" applyNumberFormat="1" applyFill="1" applyBorder="1" applyAlignment="1"/>
    <xf numFmtId="167" fontId="9" fillId="0" borderId="5" xfId="0" applyNumberFormat="1" applyFont="1" applyFill="1" applyBorder="1" applyAlignment="1">
      <alignment horizontal="center"/>
    </xf>
    <xf numFmtId="167" fontId="9" fillId="0" borderId="5" xfId="0" applyNumberFormat="1" applyFont="1" applyFill="1" applyBorder="1" applyAlignment="1">
      <alignment horizontal="center"/>
    </xf>
    <xf numFmtId="1" fontId="0" fillId="0" borderId="0" xfId="0" applyNumberFormat="1" applyAlignment="1"/>
    <xf numFmtId="5" fontId="0" fillId="0" borderId="0" xfId="0" applyNumberFormat="1"/>
    <xf numFmtId="167" fontId="9" fillId="0" borderId="5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6" fontId="1" fillId="0" borderId="0" xfId="0" applyNumberFormat="1" applyFont="1" applyAlignment="1">
      <alignment horizontal="center"/>
    </xf>
    <xf numFmtId="6" fontId="2" fillId="0" borderId="0" xfId="0" applyNumberFormat="1" applyFont="1" applyFill="1" applyAlignment="1">
      <alignment horizontal="center"/>
    </xf>
    <xf numFmtId="6" fontId="3" fillId="0" borderId="0" xfId="1" applyNumberFormat="1" applyFill="1" applyAlignment="1" applyProtection="1">
      <alignment horizontal="center"/>
    </xf>
    <xf numFmtId="6" fontId="4" fillId="0" borderId="0" xfId="1" applyNumberFormat="1" applyFont="1" applyFill="1" applyAlignment="1" applyProtection="1">
      <alignment horizontal="center"/>
    </xf>
    <xf numFmtId="6" fontId="5" fillId="0" borderId="0" xfId="0" applyNumberFormat="1" applyFont="1" applyFill="1" applyAlignment="1">
      <alignment horizontal="center"/>
    </xf>
    <xf numFmtId="167" fontId="9" fillId="0" borderId="5" xfId="0" applyNumberFormat="1" applyFont="1" applyFill="1" applyBorder="1" applyAlignment="1">
      <alignment horizontal="center"/>
    </xf>
    <xf numFmtId="6" fontId="7" fillId="0" borderId="1" xfId="0" applyNumberFormat="1" applyFont="1" applyBorder="1" applyAlignment="1">
      <alignment horizontal="center"/>
    </xf>
    <xf numFmtId="6" fontId="7" fillId="0" borderId="2" xfId="0" applyNumberFormat="1" applyFont="1" applyBorder="1" applyAlignment="1">
      <alignment horizontal="center"/>
    </xf>
    <xf numFmtId="6" fontId="7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52917</xdr:rowOff>
    </xdr:from>
    <xdr:to>
      <xdr:col>3</xdr:col>
      <xdr:colOff>366184</xdr:colOff>
      <xdr:row>6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841F67-290E-4C0F-B12E-18F0D02A7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7"/>
          <a:ext cx="1936751" cy="1180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52917</xdr:rowOff>
    </xdr:from>
    <xdr:to>
      <xdr:col>3</xdr:col>
      <xdr:colOff>366184</xdr:colOff>
      <xdr:row>6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054500-724A-4E8E-81A7-D9B9563E5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7"/>
          <a:ext cx="1936751" cy="11800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52917</xdr:rowOff>
    </xdr:from>
    <xdr:to>
      <xdr:col>3</xdr:col>
      <xdr:colOff>366184</xdr:colOff>
      <xdr:row>6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E15A78-5621-4A50-BBD7-483850E37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7"/>
          <a:ext cx="1936751" cy="11800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52917</xdr:rowOff>
    </xdr:from>
    <xdr:to>
      <xdr:col>3</xdr:col>
      <xdr:colOff>366184</xdr:colOff>
      <xdr:row>6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2A65ED-6FE6-4301-B0A4-87AF1B53D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7"/>
          <a:ext cx="1936751" cy="11800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52917</xdr:rowOff>
    </xdr:from>
    <xdr:to>
      <xdr:col>3</xdr:col>
      <xdr:colOff>366184</xdr:colOff>
      <xdr:row>6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0A2778-7AFF-4D95-BE79-51686ADD3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7"/>
          <a:ext cx="1936751" cy="11800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52917</xdr:rowOff>
    </xdr:from>
    <xdr:to>
      <xdr:col>3</xdr:col>
      <xdr:colOff>366184</xdr:colOff>
      <xdr:row>6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96E959-5805-4572-BFF0-F2B67D102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7"/>
          <a:ext cx="1986281" cy="11476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52917</xdr:rowOff>
    </xdr:from>
    <xdr:to>
      <xdr:col>3</xdr:col>
      <xdr:colOff>366184</xdr:colOff>
      <xdr:row>6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9991B1-F440-4D7E-AF22-2C60B5987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7"/>
          <a:ext cx="1986281" cy="11476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52917</xdr:rowOff>
    </xdr:from>
    <xdr:to>
      <xdr:col>3</xdr:col>
      <xdr:colOff>433917</xdr:colOff>
      <xdr:row>6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62C954-4722-4D6E-ADD7-A9D5B7613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7"/>
          <a:ext cx="1985434" cy="1147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wcatskill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wcatskill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wcatskill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wcatskill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rwcatskill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rwcatskill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rwcatskill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rwcatskil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4936-D2F7-4BD5-8805-352194C94FD8}">
  <sheetPr>
    <pageSetUpPr fitToPage="1"/>
  </sheetPr>
  <dimension ref="A1:X65"/>
  <sheetViews>
    <sheetView tabSelected="1" topLeftCell="A10" zoomScale="90" zoomScaleNormal="90" workbookViewId="0">
      <selection activeCell="O18" sqref="O18"/>
    </sheetView>
  </sheetViews>
  <sheetFormatPr defaultRowHeight="15" x14ac:dyDescent="0.25"/>
  <cols>
    <col min="1" max="1" width="9.28515625" style="5" customWidth="1"/>
    <col min="2" max="2" width="1.7109375" style="5" customWidth="1"/>
    <col min="3" max="3" width="15.5703125" style="29" bestFit="1" customWidth="1"/>
    <col min="4" max="4" width="13.5703125" style="29" customWidth="1"/>
    <col min="5" max="5" width="15.85546875" style="29" customWidth="1"/>
    <col min="6" max="6" width="18.140625" style="29" customWidth="1"/>
    <col min="7" max="7" width="1.85546875" style="29" customWidth="1"/>
    <col min="8" max="8" width="15" style="29" customWidth="1"/>
    <col min="9" max="9" width="11.7109375" style="31" customWidth="1"/>
    <col min="10" max="10" width="11.7109375" style="29" customWidth="1"/>
    <col min="11" max="11" width="1.140625" style="29" customWidth="1"/>
    <col min="12" max="12" width="14" style="29" customWidth="1"/>
    <col min="13" max="13" width="13.85546875" style="29" customWidth="1"/>
    <col min="14" max="14" width="12.7109375" style="29" bestFit="1" customWidth="1"/>
    <col min="15" max="15" width="13.85546875" style="29" bestFit="1" customWidth="1"/>
    <col min="16" max="16" width="2" style="29" customWidth="1"/>
    <col min="17" max="17" width="15" style="29" customWidth="1"/>
    <col min="18" max="18" width="12.140625" style="29" customWidth="1"/>
    <col min="19" max="19" width="2" style="29" customWidth="1"/>
    <col min="20" max="20" width="13.28515625" style="29" customWidth="1"/>
    <col min="21" max="21" width="12.140625" style="1" customWidth="1"/>
    <col min="22" max="22" width="2" style="1" customWidth="1"/>
    <col min="23" max="23" width="16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4" ht="18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4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4" s="2" customFormat="1" ht="15.75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4" s="3" customFormat="1" ht="14.25" customHeight="1" x14ac:dyDescent="0.25">
      <c r="A4" s="98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4" s="3" customForma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/>
    </row>
    <row r="6" spans="1:24" s="2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4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4" s="9" customFormat="1" ht="14.25" customHeight="1" x14ac:dyDescent="0.25">
      <c r="A8" s="93" t="s">
        <v>82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5"/>
    </row>
    <row r="9" spans="1:24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4" s="14" customFormat="1" ht="28.9" customHeight="1" x14ac:dyDescent="0.2">
      <c r="A10" s="10"/>
      <c r="B10" s="10"/>
      <c r="C10" s="102" t="s">
        <v>6</v>
      </c>
      <c r="D10" s="103"/>
      <c r="E10" s="103"/>
      <c r="F10" s="103"/>
      <c r="G10" s="103"/>
      <c r="H10" s="103"/>
      <c r="I10" s="103"/>
      <c r="J10" s="11"/>
      <c r="K10" s="12"/>
      <c r="L10" s="102" t="s">
        <v>7</v>
      </c>
      <c r="M10" s="103"/>
      <c r="N10" s="103"/>
      <c r="O10" s="104"/>
      <c r="P10" s="13"/>
      <c r="Q10" s="102" t="s">
        <v>8</v>
      </c>
      <c r="R10" s="104"/>
      <c r="S10" s="77"/>
      <c r="T10" s="105" t="s">
        <v>67</v>
      </c>
      <c r="U10" s="106"/>
      <c r="V10" s="79"/>
    </row>
    <row r="11" spans="1:24" s="19" customFormat="1" ht="12" x14ac:dyDescent="0.2">
      <c r="A11" s="15"/>
      <c r="B11" s="15"/>
      <c r="C11" s="16"/>
      <c r="D11" s="17" t="s">
        <v>9</v>
      </c>
      <c r="E11" s="16"/>
      <c r="F11" s="16"/>
      <c r="G11" s="16"/>
      <c r="H11" s="18" t="s">
        <v>10</v>
      </c>
      <c r="I11" s="16"/>
      <c r="J11" s="16"/>
      <c r="K11" s="16"/>
      <c r="L11" s="17" t="s">
        <v>11</v>
      </c>
      <c r="M11" s="17"/>
      <c r="N11" s="17" t="s">
        <v>9</v>
      </c>
      <c r="O11" s="17" t="s">
        <v>11</v>
      </c>
      <c r="Q11" s="17" t="s">
        <v>11</v>
      </c>
      <c r="R11" s="17" t="s">
        <v>11</v>
      </c>
      <c r="S11" s="17"/>
      <c r="T11" s="22" t="s">
        <v>68</v>
      </c>
      <c r="U11" s="22" t="s">
        <v>68</v>
      </c>
      <c r="V11" s="22"/>
      <c r="W11" s="17" t="s">
        <v>11</v>
      </c>
    </row>
    <row r="12" spans="1:24" s="22" customFormat="1" ht="12" x14ac:dyDescent="0.2">
      <c r="A12" s="20"/>
      <c r="B12" s="20"/>
      <c r="C12" s="17" t="s">
        <v>12</v>
      </c>
      <c r="D12" s="21" t="s">
        <v>13</v>
      </c>
      <c r="E12" s="17" t="s">
        <v>12</v>
      </c>
      <c r="F12" s="17" t="s">
        <v>14</v>
      </c>
      <c r="G12" s="17"/>
      <c r="H12" s="18" t="s">
        <v>15</v>
      </c>
      <c r="I12" s="17" t="s">
        <v>16</v>
      </c>
      <c r="J12" s="17"/>
      <c r="K12" s="17"/>
      <c r="L12" s="22" t="s">
        <v>10</v>
      </c>
      <c r="M12" s="17" t="s">
        <v>17</v>
      </c>
      <c r="N12" s="17" t="s">
        <v>17</v>
      </c>
      <c r="O12" s="17" t="s">
        <v>17</v>
      </c>
      <c r="Q12" s="22" t="s">
        <v>10</v>
      </c>
      <c r="R12" s="17" t="s">
        <v>18</v>
      </c>
      <c r="S12" s="17"/>
      <c r="T12" s="22" t="s">
        <v>69</v>
      </c>
      <c r="U12" s="22" t="s">
        <v>69</v>
      </c>
      <c r="W12" s="17" t="s">
        <v>11</v>
      </c>
    </row>
    <row r="13" spans="1:24" s="22" customFormat="1" ht="12" x14ac:dyDescent="0.2">
      <c r="A13" s="23" t="s">
        <v>19</v>
      </c>
      <c r="B13" s="23"/>
      <c r="C13" s="24" t="s">
        <v>20</v>
      </c>
      <c r="D13" s="24" t="s">
        <v>12</v>
      </c>
      <c r="E13" s="24" t="s">
        <v>21</v>
      </c>
      <c r="F13" s="24" t="s">
        <v>22</v>
      </c>
      <c r="G13" s="24"/>
      <c r="H13" s="25" t="s">
        <v>23</v>
      </c>
      <c r="I13" s="24" t="s">
        <v>24</v>
      </c>
      <c r="J13" s="21"/>
      <c r="K13" s="21"/>
      <c r="L13" s="24" t="s">
        <v>25</v>
      </c>
      <c r="M13" s="24" t="s">
        <v>26</v>
      </c>
      <c r="N13" s="24" t="s">
        <v>12</v>
      </c>
      <c r="O13" s="24" t="s">
        <v>22</v>
      </c>
      <c r="P13" s="26"/>
      <c r="Q13" s="24" t="s">
        <v>8</v>
      </c>
      <c r="R13" s="24" t="s">
        <v>22</v>
      </c>
      <c r="S13" s="21"/>
      <c r="T13" s="78" t="s">
        <v>76</v>
      </c>
      <c r="U13" s="78" t="s">
        <v>22</v>
      </c>
      <c r="V13" s="26"/>
      <c r="W13" s="24" t="s">
        <v>27</v>
      </c>
    </row>
    <row r="14" spans="1:24" x14ac:dyDescent="0.25">
      <c r="A14" s="5">
        <v>45383</v>
      </c>
      <c r="C14" s="27">
        <v>111721915.64999999</v>
      </c>
      <c r="D14" s="27">
        <v>2521684.08</v>
      </c>
      <c r="E14" s="27">
        <v>101775589.97</v>
      </c>
      <c r="F14" s="27">
        <v>7424641.6000000024</v>
      </c>
      <c r="G14" s="27"/>
      <c r="H14" s="28">
        <v>1636</v>
      </c>
      <c r="I14" s="27">
        <v>151.27631621841897</v>
      </c>
      <c r="J14" s="27"/>
      <c r="L14" s="30">
        <v>133</v>
      </c>
      <c r="M14" s="27">
        <v>39929059.5</v>
      </c>
      <c r="N14" s="27">
        <v>543955</v>
      </c>
      <c r="O14" s="27">
        <v>9599335.75</v>
      </c>
      <c r="Q14" s="31">
        <v>19</v>
      </c>
      <c r="R14" s="29">
        <v>372443</v>
      </c>
      <c r="T14" s="29">
        <v>661064.25</v>
      </c>
      <c r="U14" s="27">
        <v>66820.599999999977</v>
      </c>
      <c r="W14" s="27">
        <f>R14+O14+F14+U14</f>
        <v>17463240.950000003</v>
      </c>
    </row>
    <row r="15" spans="1:24" x14ac:dyDescent="0.25">
      <c r="A15" s="5">
        <v>45414</v>
      </c>
      <c r="C15" s="27">
        <v>118212730.27999997</v>
      </c>
      <c r="D15" s="27">
        <v>2680672.5</v>
      </c>
      <c r="E15" s="27">
        <v>107279676.09999999</v>
      </c>
      <c r="F15" s="27">
        <v>8252381.6800000006</v>
      </c>
      <c r="G15" s="27"/>
      <c r="H15" s="28">
        <v>1636</v>
      </c>
      <c r="I15" s="27">
        <v>162.7175187317612</v>
      </c>
      <c r="J15" s="27"/>
      <c r="K15" s="32"/>
      <c r="L15" s="30">
        <v>133</v>
      </c>
      <c r="M15" s="27">
        <v>40205410</v>
      </c>
      <c r="N15" s="27">
        <v>470640</v>
      </c>
      <c r="O15" s="27">
        <v>8436506</v>
      </c>
      <c r="P15" s="32"/>
      <c r="Q15" s="31">
        <v>19</v>
      </c>
      <c r="R15" s="29">
        <v>347573</v>
      </c>
      <c r="T15" s="29">
        <v>686051.7</v>
      </c>
      <c r="U15" s="29">
        <v>51142.2</v>
      </c>
      <c r="V15" s="32"/>
      <c r="W15" s="27">
        <f t="shared" ref="W15:W25" si="0">R15+O15+F15+U15</f>
        <v>17087602.879999999</v>
      </c>
    </row>
    <row r="16" spans="1:24" x14ac:dyDescent="0.25">
      <c r="A16" s="5">
        <v>45445</v>
      </c>
      <c r="C16" s="27">
        <v>118742356.39000003</v>
      </c>
      <c r="D16" s="27">
        <v>2617477.39</v>
      </c>
      <c r="E16" s="27">
        <v>107578283.06</v>
      </c>
      <c r="F16" s="27">
        <v>8546595.9400000032</v>
      </c>
      <c r="G16" s="27"/>
      <c r="H16" s="28">
        <v>1615.6</v>
      </c>
      <c r="I16" s="27">
        <v>176.33481761162011</v>
      </c>
      <c r="J16" s="27"/>
      <c r="K16" s="32"/>
      <c r="L16" s="32">
        <v>133</v>
      </c>
      <c r="M16" s="27">
        <v>40794920.25</v>
      </c>
      <c r="N16" s="27">
        <v>565455</v>
      </c>
      <c r="O16" s="27">
        <v>6526665.75</v>
      </c>
      <c r="P16" s="32"/>
      <c r="Q16" s="31">
        <v>19</v>
      </c>
      <c r="R16" s="29">
        <v>344697</v>
      </c>
      <c r="T16" s="29">
        <v>478475.15</v>
      </c>
      <c r="U16" s="27">
        <v>-2369.8000000000011</v>
      </c>
      <c r="V16" s="32"/>
      <c r="W16" s="27">
        <f t="shared" si="0"/>
        <v>15415588.890000002</v>
      </c>
    </row>
    <row r="17" spans="1:23" x14ac:dyDescent="0.25">
      <c r="A17" s="5">
        <v>45476</v>
      </c>
      <c r="C17" s="27">
        <v>124225818.32000002</v>
      </c>
      <c r="D17" s="27">
        <v>2662960.7000000002</v>
      </c>
      <c r="E17" s="27">
        <v>112882818.53</v>
      </c>
      <c r="F17" s="27">
        <v>8680039.0899999943</v>
      </c>
      <c r="G17" s="33"/>
      <c r="H17" s="28">
        <v>1602</v>
      </c>
      <c r="I17" s="27">
        <v>174.78231021706725</v>
      </c>
      <c r="J17" s="27"/>
      <c r="K17" s="33"/>
      <c r="L17" s="32">
        <v>133</v>
      </c>
      <c r="M17" s="27">
        <v>45209642.100000001</v>
      </c>
      <c r="N17" s="27">
        <v>516785</v>
      </c>
      <c r="O17" s="27">
        <v>8563060.0999999996</v>
      </c>
      <c r="P17" s="33"/>
      <c r="Q17" s="31">
        <v>19</v>
      </c>
      <c r="R17" s="29">
        <v>379737</v>
      </c>
      <c r="T17" s="29">
        <v>459514.95</v>
      </c>
      <c r="U17" s="29">
        <v>33463.750000000015</v>
      </c>
      <c r="V17" s="33"/>
      <c r="W17" s="27">
        <f t="shared" si="0"/>
        <v>17656299.939999994</v>
      </c>
    </row>
    <row r="18" spans="1:23" x14ac:dyDescent="0.25">
      <c r="A18" s="5">
        <v>45507</v>
      </c>
      <c r="C18" s="27">
        <v>129445343.06999999</v>
      </c>
      <c r="D18" s="27">
        <v>2475548.9</v>
      </c>
      <c r="E18" s="27">
        <v>117808594.78</v>
      </c>
      <c r="F18" s="27">
        <v>9161199.3900000006</v>
      </c>
      <c r="G18" s="33"/>
      <c r="H18" s="28">
        <v>1602</v>
      </c>
      <c r="I18" s="27">
        <v>184.47101184003867</v>
      </c>
      <c r="J18" s="27"/>
      <c r="K18" s="33"/>
      <c r="L18" s="90">
        <v>133</v>
      </c>
      <c r="M18" s="27">
        <v>48703252</v>
      </c>
      <c r="N18" s="27">
        <v>588295</v>
      </c>
      <c r="O18" s="27">
        <v>9967656.25</v>
      </c>
      <c r="P18" s="33"/>
      <c r="Q18" s="31">
        <v>19</v>
      </c>
      <c r="R18" s="29">
        <v>423127.5</v>
      </c>
      <c r="T18" s="29">
        <v>546329.19999999995</v>
      </c>
      <c r="U18" s="29">
        <v>75518.25</v>
      </c>
      <c r="V18" s="33"/>
      <c r="W18" s="27">
        <f t="shared" si="0"/>
        <v>19627501.390000001</v>
      </c>
    </row>
    <row r="19" spans="1:23" x14ac:dyDescent="0.25">
      <c r="A19" s="5">
        <v>45538</v>
      </c>
      <c r="C19" s="27"/>
      <c r="D19" s="27"/>
      <c r="E19" s="27"/>
      <c r="F19" s="27"/>
      <c r="G19" s="33"/>
      <c r="H19" s="28"/>
      <c r="I19" s="27"/>
      <c r="J19" s="27"/>
      <c r="K19" s="33"/>
      <c r="L19" s="32"/>
      <c r="M19" s="27"/>
      <c r="N19" s="27"/>
      <c r="O19" s="27"/>
      <c r="P19" s="33"/>
      <c r="Q19" s="31"/>
      <c r="U19" s="29"/>
      <c r="V19" s="33"/>
      <c r="W19" s="27">
        <f t="shared" si="0"/>
        <v>0</v>
      </c>
    </row>
    <row r="20" spans="1:23" x14ac:dyDescent="0.25">
      <c r="A20" s="5">
        <v>45569</v>
      </c>
      <c r="C20" s="27"/>
      <c r="D20" s="27"/>
      <c r="E20" s="27"/>
      <c r="F20" s="27"/>
      <c r="G20" s="33"/>
      <c r="H20" s="28"/>
      <c r="I20" s="91"/>
      <c r="J20" s="27"/>
      <c r="K20" s="33"/>
      <c r="L20" s="32"/>
      <c r="M20" s="27"/>
      <c r="N20" s="27"/>
      <c r="O20" s="27"/>
      <c r="P20" s="33"/>
      <c r="Q20" s="31"/>
      <c r="U20" s="29"/>
      <c r="V20" s="33"/>
      <c r="W20" s="27">
        <f t="shared" si="0"/>
        <v>0</v>
      </c>
    </row>
    <row r="21" spans="1:23" x14ac:dyDescent="0.25">
      <c r="A21" s="5">
        <v>45600</v>
      </c>
      <c r="C21" s="27"/>
      <c r="D21" s="27"/>
      <c r="E21" s="27"/>
      <c r="F21" s="27"/>
      <c r="G21" s="33"/>
      <c r="H21" s="28"/>
      <c r="I21" s="91"/>
      <c r="J21" s="27"/>
      <c r="K21" s="33"/>
      <c r="L21" s="32"/>
      <c r="M21" s="27"/>
      <c r="N21" s="27"/>
      <c r="O21" s="27"/>
      <c r="P21" s="33"/>
      <c r="Q21" s="31"/>
      <c r="U21" s="27"/>
      <c r="V21" s="33"/>
      <c r="W21" s="27">
        <f t="shared" si="0"/>
        <v>0</v>
      </c>
    </row>
    <row r="22" spans="1:23" x14ac:dyDescent="0.25">
      <c r="A22" s="5">
        <v>45631</v>
      </c>
      <c r="C22" s="27"/>
      <c r="D22" s="27"/>
      <c r="E22" s="27"/>
      <c r="F22" s="27"/>
      <c r="G22" s="33"/>
      <c r="H22" s="28"/>
      <c r="I22" s="27"/>
      <c r="J22" s="27"/>
      <c r="K22" s="33"/>
      <c r="L22" s="32"/>
      <c r="M22" s="27"/>
      <c r="N22" s="27"/>
      <c r="O22" s="27"/>
      <c r="P22" s="32"/>
      <c r="Q22" s="31"/>
      <c r="U22" s="29"/>
      <c r="V22" s="32"/>
      <c r="W22" s="27">
        <f t="shared" si="0"/>
        <v>0</v>
      </c>
    </row>
    <row r="23" spans="1:23" x14ac:dyDescent="0.25">
      <c r="A23" s="5">
        <v>45662</v>
      </c>
      <c r="C23" s="27"/>
      <c r="D23" s="27"/>
      <c r="E23" s="27"/>
      <c r="F23" s="27"/>
      <c r="G23" s="33"/>
      <c r="H23" s="28"/>
      <c r="I23" s="27"/>
      <c r="J23" s="27"/>
      <c r="K23" s="33"/>
      <c r="L23" s="32"/>
      <c r="M23" s="27"/>
      <c r="N23" s="27"/>
      <c r="O23" s="27"/>
      <c r="P23" s="33"/>
      <c r="Q23" s="31"/>
      <c r="U23" s="27"/>
      <c r="V23" s="33"/>
      <c r="W23" s="27">
        <f t="shared" si="0"/>
        <v>0</v>
      </c>
    </row>
    <row r="24" spans="1:23" x14ac:dyDescent="0.25">
      <c r="A24" s="5">
        <v>45693</v>
      </c>
      <c r="C24" s="27"/>
      <c r="D24" s="27"/>
      <c r="E24" s="27"/>
      <c r="F24" s="27"/>
      <c r="G24" s="33"/>
      <c r="H24" s="28"/>
      <c r="I24" s="27"/>
      <c r="J24" s="27"/>
      <c r="K24" s="33"/>
      <c r="L24" s="32"/>
      <c r="M24" s="27"/>
      <c r="N24" s="27"/>
      <c r="O24" s="27"/>
      <c r="P24" s="33"/>
      <c r="Q24" s="31"/>
      <c r="U24" s="27"/>
      <c r="V24" s="33"/>
      <c r="W24" s="27">
        <f t="shared" si="0"/>
        <v>0</v>
      </c>
    </row>
    <row r="25" spans="1:23" x14ac:dyDescent="0.25">
      <c r="A25" s="5">
        <v>45724</v>
      </c>
      <c r="C25" s="27"/>
      <c r="D25" s="27"/>
      <c r="E25" s="27"/>
      <c r="F25" s="27"/>
      <c r="G25" s="33"/>
      <c r="H25" s="28"/>
      <c r="I25" s="27"/>
      <c r="J25" s="27"/>
      <c r="K25" s="33"/>
      <c r="L25" s="32"/>
      <c r="M25" s="27"/>
      <c r="N25" s="27"/>
      <c r="O25" s="27"/>
      <c r="P25" s="33"/>
      <c r="Q25" s="31"/>
      <c r="U25" s="27"/>
      <c r="V25" s="33"/>
      <c r="W25" s="27">
        <f t="shared" si="0"/>
        <v>0</v>
      </c>
    </row>
    <row r="26" spans="1:23" ht="15.75" thickBot="1" x14ac:dyDescent="0.3">
      <c r="A26" s="5" t="s">
        <v>28</v>
      </c>
      <c r="C26" s="34">
        <f>SUM(C14:C25)</f>
        <v>602348163.71000004</v>
      </c>
      <c r="D26" s="34">
        <f t="shared" ref="D26:E26" si="1">SUM(D14:D25)</f>
        <v>12958343.570000002</v>
      </c>
      <c r="E26" s="34">
        <f t="shared" si="1"/>
        <v>547324962.43999994</v>
      </c>
      <c r="F26" s="34">
        <f>SUM(F14:F25)</f>
        <v>42064857.700000003</v>
      </c>
      <c r="G26" s="34"/>
      <c r="H26" s="35">
        <v>1618.22</v>
      </c>
      <c r="I26" s="34">
        <f>F26/H26/153</f>
        <v>169.89884592794326</v>
      </c>
      <c r="J26" s="36"/>
      <c r="K26" s="27"/>
      <c r="L26" s="37">
        <f>+AVERAGE(L14:L25)</f>
        <v>133</v>
      </c>
      <c r="M26" s="34">
        <f>SUM(M14:M25)</f>
        <v>214842283.84999999</v>
      </c>
      <c r="N26" s="34">
        <f>SUM(N14:N25)</f>
        <v>2685130</v>
      </c>
      <c r="O26" s="34">
        <f>SUM(O14:O25)</f>
        <v>43093223.850000001</v>
      </c>
      <c r="P26" s="36"/>
      <c r="Q26" s="87">
        <v>19</v>
      </c>
      <c r="R26" s="34">
        <f>SUM(R14:R25)</f>
        <v>1867577.5</v>
      </c>
      <c r="S26" s="36"/>
      <c r="T26" s="34">
        <f>SUM(T14:T25)</f>
        <v>2831435.25</v>
      </c>
      <c r="U26" s="34">
        <f>SUM(U14:U25)</f>
        <v>224575</v>
      </c>
      <c r="V26" s="36"/>
      <c r="W26" s="34">
        <f>SUM(W14:W25)</f>
        <v>87250234.049999997</v>
      </c>
    </row>
    <row r="27" spans="1:23" ht="10.5" customHeight="1" thickTop="1" x14ac:dyDescent="0.25">
      <c r="C27" s="39"/>
      <c r="D27" s="39"/>
      <c r="E27" s="39"/>
      <c r="F27" s="39"/>
      <c r="G27" s="39"/>
      <c r="H27" s="39"/>
      <c r="L27" s="40"/>
      <c r="M27" s="39"/>
      <c r="N27" s="39"/>
      <c r="O27" s="39"/>
      <c r="P27" s="39"/>
      <c r="Q27" s="40"/>
      <c r="R27" s="39"/>
      <c r="S27" s="39"/>
      <c r="T27" s="39"/>
    </row>
    <row r="28" spans="1:23" s="44" customFormat="1" x14ac:dyDescent="0.25">
      <c r="A28" s="41"/>
      <c r="B28" s="41"/>
      <c r="C28" s="42"/>
      <c r="D28" s="43">
        <f>D26/$C$26</f>
        <v>2.1513045694680301E-2</v>
      </c>
      <c r="E28" s="43">
        <f>E26/$C$26</f>
        <v>0.90865216400578097</v>
      </c>
      <c r="F28" s="43">
        <f>F26/$C$26</f>
        <v>6.983479029953861E-2</v>
      </c>
      <c r="G28" s="43"/>
      <c r="H28" s="42"/>
      <c r="L28" s="42"/>
      <c r="M28" s="42"/>
      <c r="N28" s="42"/>
      <c r="O28" s="42">
        <f>O26/$M$26</f>
        <v>0.20058073800819914</v>
      </c>
      <c r="P28" s="42"/>
      <c r="Q28" s="42"/>
      <c r="R28" s="42"/>
      <c r="S28" s="42"/>
      <c r="T28" s="42"/>
    </row>
    <row r="29" spans="1:23" s="44" customFormat="1" x14ac:dyDescent="0.25">
      <c r="A29" s="41"/>
      <c r="B29" s="41"/>
      <c r="C29" s="42"/>
      <c r="D29" s="42"/>
      <c r="E29" s="42"/>
      <c r="F29" s="42"/>
      <c r="G29" s="42"/>
      <c r="H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3" s="44" customFormat="1" x14ac:dyDescent="0.25">
      <c r="A30" s="93" t="s">
        <v>29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</row>
    <row r="31" spans="1:23" s="46" customForma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3" s="46" customFormat="1" x14ac:dyDescent="0.25">
      <c r="A32" s="45"/>
      <c r="B32" s="45"/>
      <c r="C32" s="45"/>
      <c r="D32" s="45"/>
      <c r="E32" s="45"/>
      <c r="F32" s="45"/>
      <c r="G32" s="45"/>
      <c r="H32" s="107" t="s">
        <v>30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45"/>
      <c r="T32" s="45"/>
      <c r="U32" s="45"/>
      <c r="V32" s="45"/>
      <c r="W32" s="45"/>
    </row>
    <row r="33" spans="1:23" s="48" customFormat="1" ht="12" x14ac:dyDescent="0.2">
      <c r="F33" s="48" t="s">
        <v>31</v>
      </c>
      <c r="H33" s="49" t="s">
        <v>32</v>
      </c>
      <c r="I33" s="49" t="s">
        <v>33</v>
      </c>
      <c r="J33" s="49" t="s">
        <v>34</v>
      </c>
      <c r="K33" s="50"/>
      <c r="L33" s="50"/>
      <c r="M33" s="51"/>
      <c r="N33" s="51"/>
      <c r="O33" s="51"/>
      <c r="P33" s="51"/>
      <c r="Q33" s="51"/>
      <c r="R33" s="52"/>
      <c r="S33" s="52"/>
      <c r="T33" s="52"/>
    </row>
    <row r="34" spans="1:23" s="48" customFormat="1" ht="12.75" customHeight="1" x14ac:dyDescent="0.2">
      <c r="C34" s="17" t="s">
        <v>35</v>
      </c>
      <c r="D34" s="48" t="s">
        <v>11</v>
      </c>
      <c r="E34" s="48" t="s">
        <v>36</v>
      </c>
      <c r="F34" s="48" t="s">
        <v>37</v>
      </c>
      <c r="H34" s="49" t="s">
        <v>38</v>
      </c>
      <c r="I34" s="49" t="s">
        <v>39</v>
      </c>
      <c r="J34" s="49" t="s">
        <v>40</v>
      </c>
      <c r="K34" s="50"/>
      <c r="L34" s="101" t="s">
        <v>41</v>
      </c>
      <c r="M34" s="101"/>
      <c r="N34" s="101"/>
      <c r="O34" s="101"/>
      <c r="P34" s="101"/>
      <c r="Q34" s="101"/>
      <c r="R34" s="101"/>
      <c r="S34" s="51"/>
      <c r="T34" s="51"/>
      <c r="U34" s="51"/>
      <c r="V34" s="51"/>
      <c r="W34" s="51"/>
    </row>
    <row r="35" spans="1:23" s="48" customFormat="1" ht="12" x14ac:dyDescent="0.2">
      <c r="C35" s="24" t="s">
        <v>42</v>
      </c>
      <c r="D35" s="53" t="s">
        <v>43</v>
      </c>
      <c r="E35" s="53" t="s">
        <v>44</v>
      </c>
      <c r="F35" s="53" t="s">
        <v>45</v>
      </c>
      <c r="G35" s="52"/>
      <c r="H35" s="54" t="s">
        <v>46</v>
      </c>
      <c r="I35" s="54" t="s">
        <v>47</v>
      </c>
      <c r="J35" s="54" t="s">
        <v>48</v>
      </c>
      <c r="K35" s="92"/>
      <c r="L35" s="92" t="s">
        <v>49</v>
      </c>
      <c r="M35" s="92" t="s">
        <v>50</v>
      </c>
      <c r="N35" s="92" t="s">
        <v>51</v>
      </c>
      <c r="O35" s="92" t="s">
        <v>52</v>
      </c>
      <c r="P35" s="56"/>
      <c r="Q35" s="92" t="s">
        <v>53</v>
      </c>
      <c r="R35" s="57" t="s">
        <v>54</v>
      </c>
      <c r="S35" s="52"/>
      <c r="T35" s="52"/>
      <c r="U35" s="52"/>
      <c r="V35" s="52"/>
    </row>
    <row r="36" spans="1:23" s="44" customFormat="1" x14ac:dyDescent="0.25">
      <c r="A36" s="5">
        <v>45383</v>
      </c>
      <c r="B36" s="41"/>
      <c r="C36" s="36">
        <f t="shared" ref="C36:C47" si="2">(F14*0.7)+(O14+R14+U14)*0.9</f>
        <v>14231988.535</v>
      </c>
      <c r="D36" s="36">
        <f t="shared" ref="D36:D47" si="3">(F14*0.3)+(O14+R14+U14)*0.1</f>
        <v>3231252.4150000005</v>
      </c>
      <c r="E36" s="27">
        <v>13618.630000000001</v>
      </c>
      <c r="F36" s="27">
        <v>0</v>
      </c>
      <c r="H36" s="27">
        <f t="shared" ref="H36:H47" si="4">F14*0.3*0.8+(O14+R14+U14)*0.1*0.8+((E36+F36)*0.8)</f>
        <v>2595896.8360000006</v>
      </c>
      <c r="I36" s="36">
        <f t="shared" ref="I36:I47" si="5">(F14*0.3*0.05+(O14+R14+U14)*0.1*0.05+((E36+F36)*0.05))</f>
        <v>162243.55225000004</v>
      </c>
      <c r="J36" s="36">
        <f t="shared" ref="J36:J47" si="6">F14*0.3*0.05+(O14+R14+U14)*0.1*0.05+(E36+F36)*0.05</f>
        <v>162243.55225000004</v>
      </c>
      <c r="K36" s="27"/>
      <c r="L36" s="36">
        <f>(F14*0.3*0.1+(O14+R14+U14)*0.1*0.1)*61570/1032881+((E36+F36)*0.1*61570/1032881)</f>
        <v>19342.664860777768</v>
      </c>
      <c r="M36" s="36">
        <f>(F14*0.3*0.1+(O14+R14+U14)*0.1*0.1)*44308/1032881+((E36+F36)*0.1*44308/1032881)</f>
        <v>13919.681576276456</v>
      </c>
      <c r="N36" s="36">
        <f>(F14*0.3*0.1+(O14+R14+U14)*0.1*0.1)*295911/1032881+((E36+F36)*0.1*295911/1032881)</f>
        <v>92962.600318622877</v>
      </c>
      <c r="O36" s="36">
        <f>(F14*0.3*0.1+(O14+R14+U14)*0.1*0.1)*47931/1032881+((E36+F36)*0.1*47931/1032881)</f>
        <v>15057.87346827902</v>
      </c>
      <c r="P36" s="58"/>
      <c r="Q36" s="36">
        <f>(F14*0.3*0.1+(O14+R14+U14)*0.1*0.1)*401310/1032881+((E36+F36)*0.1*401310/1032881)</f>
        <v>126074.46540975681</v>
      </c>
      <c r="R36" s="36">
        <f>(F14*0.3*0.1+(O14+R14+U14)*0.1*0.1)*181851/1032881+((E36+F36)*0.1*181851/1032881)</f>
        <v>57129.818866287125</v>
      </c>
      <c r="S36" s="36"/>
      <c r="T36" s="36"/>
      <c r="U36" s="27"/>
      <c r="V36" s="27"/>
    </row>
    <row r="37" spans="1:23" s="44" customFormat="1" x14ac:dyDescent="0.25">
      <c r="A37" s="5">
        <v>45414</v>
      </c>
      <c r="B37" s="41"/>
      <c r="C37" s="36">
        <f t="shared" si="2"/>
        <v>13728366.255999999</v>
      </c>
      <c r="D37" s="36">
        <f t="shared" si="3"/>
        <v>3359236.6240000003</v>
      </c>
      <c r="E37" s="27">
        <v>18242.509999999998</v>
      </c>
      <c r="F37" s="27">
        <v>15000</v>
      </c>
      <c r="H37" s="27">
        <f t="shared" si="4"/>
        <v>2713983.3072000002</v>
      </c>
      <c r="I37" s="36">
        <f t="shared" si="5"/>
        <v>169623.95670000001</v>
      </c>
      <c r="J37" s="36">
        <f t="shared" si="6"/>
        <v>169623.95670000001</v>
      </c>
      <c r="K37" s="27"/>
      <c r="L37" s="36">
        <f t="shared" ref="L37:L47" si="7">(F15*0.3*0.1+(O15+R15+U15)*0.1*0.1)*61570/1032881+((E37+F37)*0.1*61570/1032881)</f>
        <v>20222.556158974756</v>
      </c>
      <c r="M37" s="36">
        <f t="shared" ref="M37:M47" si="8">(F15*0.3*0.1+(O15+R15+U15)*0.1*0.1)*44308/1032881+((E37+F37)*0.1*44308/1032881)</f>
        <v>14552.883194605383</v>
      </c>
      <c r="N37" s="36">
        <f t="shared" ref="N37:N47" si="9">(F15*0.3*0.1+(O15+R15+U15)*0.1*0.1)*295911/1032881+((E37+F37)*0.1*295911/1032881)</f>
        <v>97191.437641032622</v>
      </c>
      <c r="O37" s="36">
        <f t="shared" ref="O37:O47" si="10">(F15*0.3*0.1+(O15+R15+U15)*0.1*0.1)*47931/1032881+((E37+F37)*0.1*47931/1032881)</f>
        <v>15742.85105174304</v>
      </c>
      <c r="P37" s="36"/>
      <c r="Q37" s="36">
        <f t="shared" ref="Q37:Q47" si="11">(F15*0.3*0.1+(O15+R15+U15)*0.1*0.1)*401310/1032881+((E37+F37)*0.1*401310/1032881)</f>
        <v>131809.55030303975</v>
      </c>
      <c r="R37" s="36">
        <f t="shared" ref="R37:R47" si="12">(F15*0.3*0.1+(O15+R15+U15)*0.1*0.1)*181851/1032881+((E37+F37)*0.1*181851/1032881)</f>
        <v>59728.635050604476</v>
      </c>
      <c r="S37" s="36"/>
      <c r="T37" s="36"/>
      <c r="U37" s="27"/>
      <c r="V37" s="27"/>
    </row>
    <row r="38" spans="1:23" s="44" customFormat="1" x14ac:dyDescent="0.25">
      <c r="A38" s="5">
        <v>45445</v>
      </c>
      <c r="B38" s="41"/>
      <c r="C38" s="36">
        <f t="shared" si="2"/>
        <v>12164710.813000001</v>
      </c>
      <c r="D38" s="36">
        <f t="shared" si="3"/>
        <v>3250878.077000001</v>
      </c>
      <c r="E38" s="27">
        <v>12664.52</v>
      </c>
      <c r="F38" s="27">
        <v>0</v>
      </c>
      <c r="H38" s="27">
        <f>F16*0.3*0.8+(O16+R16+U16)*0.1*0.8+((E38+F38)*0.8)</f>
        <v>2610834.0776000009</v>
      </c>
      <c r="I38" s="36">
        <f t="shared" si="5"/>
        <v>163177.12985000006</v>
      </c>
      <c r="J38" s="36">
        <f t="shared" si="6"/>
        <v>163177.12985000006</v>
      </c>
      <c r="K38" s="27"/>
      <c r="L38" s="36">
        <f t="shared" si="7"/>
        <v>19453.965916430847</v>
      </c>
      <c r="M38" s="36">
        <f t="shared" si="8"/>
        <v>13999.777843514988</v>
      </c>
      <c r="N38" s="36">
        <f t="shared" si="9"/>
        <v>93497.523279145171</v>
      </c>
      <c r="O38" s="36">
        <f t="shared" si="10"/>
        <v>15144.519089498892</v>
      </c>
      <c r="P38" s="36"/>
      <c r="Q38" s="36">
        <f t="shared" si="11"/>
        <v>126799.91979735036</v>
      </c>
      <c r="R38" s="36">
        <f t="shared" si="12"/>
        <v>57458.553774059859</v>
      </c>
      <c r="S38" s="36"/>
      <c r="T38" s="36"/>
      <c r="U38" s="27"/>
      <c r="V38" s="27"/>
    </row>
    <row r="39" spans="1:23" s="44" customFormat="1" x14ac:dyDescent="0.25">
      <c r="A39" s="5">
        <v>45476</v>
      </c>
      <c r="B39" s="41"/>
      <c r="C39" s="36">
        <f t="shared" si="2"/>
        <v>14154662.127999995</v>
      </c>
      <c r="D39" s="36">
        <f t="shared" si="3"/>
        <v>3501637.8119999981</v>
      </c>
      <c r="E39" s="27">
        <v>25042.93</v>
      </c>
      <c r="F39" s="27">
        <v>0</v>
      </c>
      <c r="H39" s="27">
        <f t="shared" si="4"/>
        <v>2821344.5935999989</v>
      </c>
      <c r="I39" s="36">
        <f t="shared" si="5"/>
        <v>176334.03709999993</v>
      </c>
      <c r="J39" s="36">
        <f t="shared" si="6"/>
        <v>176334.03709999993</v>
      </c>
      <c r="K39" s="27"/>
      <c r="L39" s="36">
        <f t="shared" si="7"/>
        <v>21022.531471189799</v>
      </c>
      <c r="M39" s="36">
        <f t="shared" si="8"/>
        <v>15128.574377545519</v>
      </c>
      <c r="N39" s="36">
        <f t="shared" si="9"/>
        <v>101036.191492143</v>
      </c>
      <c r="O39" s="36">
        <f t="shared" si="10"/>
        <v>16365.615656092225</v>
      </c>
      <c r="P39" s="36"/>
      <c r="Q39" s="36">
        <f t="shared" si="11"/>
        <v>137023.74703107323</v>
      </c>
      <c r="R39" s="36">
        <f t="shared" si="12"/>
        <v>62091.414171956087</v>
      </c>
      <c r="S39" s="36"/>
      <c r="T39" s="36"/>
      <c r="U39" s="27"/>
      <c r="V39" s="27"/>
      <c r="W39" s="59"/>
    </row>
    <row r="40" spans="1:23" s="44" customFormat="1" x14ac:dyDescent="0.25">
      <c r="A40" s="5">
        <v>45507</v>
      </c>
      <c r="B40" s="41"/>
      <c r="C40" s="36">
        <f t="shared" si="2"/>
        <v>15832511.373</v>
      </c>
      <c r="D40" s="36">
        <f t="shared" si="3"/>
        <v>3794990.0170000005</v>
      </c>
      <c r="E40" s="27">
        <v>19961.61</v>
      </c>
      <c r="F40" s="27">
        <v>60000</v>
      </c>
      <c r="H40" s="27">
        <f t="shared" si="4"/>
        <v>3099961.3016000008</v>
      </c>
      <c r="I40" s="36">
        <f t="shared" si="5"/>
        <v>193747.58135000005</v>
      </c>
      <c r="J40" s="36">
        <f t="shared" si="6"/>
        <v>193747.58135000005</v>
      </c>
      <c r="K40" s="27"/>
      <c r="L40" s="36">
        <f t="shared" si="7"/>
        <v>23098.572988988089</v>
      </c>
      <c r="M40" s="36">
        <f t="shared" si="8"/>
        <v>16622.56897833497</v>
      </c>
      <c r="N40" s="36">
        <f t="shared" si="9"/>
        <v>111013.83517532003</v>
      </c>
      <c r="O40" s="36">
        <f t="shared" si="10"/>
        <v>17981.771998297678</v>
      </c>
      <c r="P40" s="36"/>
      <c r="Q40" s="36">
        <f t="shared" si="11"/>
        <v>150555.27572211807</v>
      </c>
      <c r="R40" s="36">
        <f t="shared" si="12"/>
        <v>68223.137836941256</v>
      </c>
      <c r="S40" s="36"/>
      <c r="T40" s="36"/>
      <c r="U40" s="27"/>
      <c r="V40" s="27"/>
      <c r="W40" s="31"/>
    </row>
    <row r="41" spans="1:23" s="44" customFormat="1" x14ac:dyDescent="0.25">
      <c r="A41" s="5">
        <v>45538</v>
      </c>
      <c r="B41" s="41"/>
      <c r="C41" s="36">
        <f t="shared" si="2"/>
        <v>0</v>
      </c>
      <c r="D41" s="36">
        <f t="shared" si="3"/>
        <v>0</v>
      </c>
      <c r="E41" s="27"/>
      <c r="F41" s="27"/>
      <c r="G41" s="33"/>
      <c r="H41" s="27">
        <f t="shared" si="4"/>
        <v>0</v>
      </c>
      <c r="I41" s="36">
        <f t="shared" si="5"/>
        <v>0</v>
      </c>
      <c r="J41" s="36">
        <f t="shared" si="6"/>
        <v>0</v>
      </c>
      <c r="K41" s="27"/>
      <c r="L41" s="36">
        <f t="shared" si="7"/>
        <v>0</v>
      </c>
      <c r="M41" s="36">
        <f t="shared" si="8"/>
        <v>0</v>
      </c>
      <c r="N41" s="36">
        <f t="shared" si="9"/>
        <v>0</v>
      </c>
      <c r="O41" s="36">
        <f t="shared" si="10"/>
        <v>0</v>
      </c>
      <c r="P41" s="36"/>
      <c r="Q41" s="36">
        <f t="shared" si="11"/>
        <v>0</v>
      </c>
      <c r="R41" s="36">
        <f t="shared" si="12"/>
        <v>0</v>
      </c>
      <c r="S41" s="36"/>
      <c r="T41" s="36"/>
      <c r="U41" s="27"/>
      <c r="V41" s="27"/>
    </row>
    <row r="42" spans="1:23" s="44" customFormat="1" x14ac:dyDescent="0.25">
      <c r="A42" s="5">
        <v>45569</v>
      </c>
      <c r="B42" s="41"/>
      <c r="C42" s="36">
        <f t="shared" si="2"/>
        <v>0</v>
      </c>
      <c r="D42" s="36">
        <f t="shared" si="3"/>
        <v>0</v>
      </c>
      <c r="E42" s="27"/>
      <c r="F42" s="27"/>
      <c r="G42" s="33"/>
      <c r="H42" s="27">
        <f t="shared" si="4"/>
        <v>0</v>
      </c>
      <c r="I42" s="36">
        <f t="shared" si="5"/>
        <v>0</v>
      </c>
      <c r="J42" s="36">
        <f t="shared" si="6"/>
        <v>0</v>
      </c>
      <c r="K42" s="27"/>
      <c r="L42" s="36">
        <f t="shared" si="7"/>
        <v>0</v>
      </c>
      <c r="M42" s="36">
        <f t="shared" si="8"/>
        <v>0</v>
      </c>
      <c r="N42" s="36">
        <f t="shared" si="9"/>
        <v>0</v>
      </c>
      <c r="O42" s="36">
        <f t="shared" si="10"/>
        <v>0</v>
      </c>
      <c r="P42" s="36"/>
      <c r="Q42" s="36">
        <f t="shared" si="11"/>
        <v>0</v>
      </c>
      <c r="R42" s="36">
        <f t="shared" si="12"/>
        <v>0</v>
      </c>
      <c r="S42" s="36"/>
      <c r="T42" s="36"/>
      <c r="U42" s="27"/>
      <c r="V42" s="27"/>
    </row>
    <row r="43" spans="1:23" s="44" customFormat="1" x14ac:dyDescent="0.25">
      <c r="A43" s="5">
        <v>45600</v>
      </c>
      <c r="B43" s="41"/>
      <c r="C43" s="36">
        <f t="shared" si="2"/>
        <v>0</v>
      </c>
      <c r="D43" s="36">
        <f t="shared" si="3"/>
        <v>0</v>
      </c>
      <c r="E43" s="27"/>
      <c r="F43" s="27"/>
      <c r="G43" s="33"/>
      <c r="H43" s="27">
        <f t="shared" si="4"/>
        <v>0</v>
      </c>
      <c r="I43" s="36">
        <f t="shared" si="5"/>
        <v>0</v>
      </c>
      <c r="J43" s="36">
        <f t="shared" si="6"/>
        <v>0</v>
      </c>
      <c r="K43" s="27"/>
      <c r="L43" s="36">
        <f t="shared" si="7"/>
        <v>0</v>
      </c>
      <c r="M43" s="36">
        <f t="shared" si="8"/>
        <v>0</v>
      </c>
      <c r="N43" s="36">
        <f t="shared" si="9"/>
        <v>0</v>
      </c>
      <c r="O43" s="36">
        <f t="shared" si="10"/>
        <v>0</v>
      </c>
      <c r="P43" s="36"/>
      <c r="Q43" s="36">
        <f t="shared" si="11"/>
        <v>0</v>
      </c>
      <c r="R43" s="36">
        <f t="shared" si="12"/>
        <v>0</v>
      </c>
      <c r="S43" s="36"/>
      <c r="T43" s="36"/>
      <c r="U43" s="27"/>
      <c r="V43" s="27"/>
    </row>
    <row r="44" spans="1:23" s="44" customFormat="1" x14ac:dyDescent="0.25">
      <c r="A44" s="5">
        <v>45631</v>
      </c>
      <c r="B44" s="41"/>
      <c r="C44" s="36">
        <f t="shared" si="2"/>
        <v>0</v>
      </c>
      <c r="D44" s="36">
        <f t="shared" si="3"/>
        <v>0</v>
      </c>
      <c r="E44" s="27"/>
      <c r="F44" s="27"/>
      <c r="G44" s="33"/>
      <c r="H44" s="27">
        <f t="shared" si="4"/>
        <v>0</v>
      </c>
      <c r="I44" s="36">
        <f t="shared" si="5"/>
        <v>0</v>
      </c>
      <c r="J44" s="36">
        <f t="shared" si="6"/>
        <v>0</v>
      </c>
      <c r="K44" s="27"/>
      <c r="L44" s="36">
        <f t="shared" si="7"/>
        <v>0</v>
      </c>
      <c r="M44" s="36">
        <f t="shared" si="8"/>
        <v>0</v>
      </c>
      <c r="N44" s="36">
        <f t="shared" si="9"/>
        <v>0</v>
      </c>
      <c r="O44" s="36">
        <f t="shared" si="10"/>
        <v>0</v>
      </c>
      <c r="P44" s="36"/>
      <c r="Q44" s="36">
        <f t="shared" si="11"/>
        <v>0</v>
      </c>
      <c r="R44" s="36">
        <f t="shared" si="12"/>
        <v>0</v>
      </c>
      <c r="S44" s="36"/>
      <c r="T44" s="36"/>
      <c r="U44" s="33"/>
      <c r="V44" s="33"/>
    </row>
    <row r="45" spans="1:23" s="44" customFormat="1" x14ac:dyDescent="0.25">
      <c r="A45" s="5">
        <v>45662</v>
      </c>
      <c r="B45" s="41"/>
      <c r="C45" s="36">
        <f t="shared" si="2"/>
        <v>0</v>
      </c>
      <c r="D45" s="36">
        <f t="shared" si="3"/>
        <v>0</v>
      </c>
      <c r="E45" s="27"/>
      <c r="F45" s="27"/>
      <c r="G45" s="33"/>
      <c r="H45" s="27">
        <f t="shared" si="4"/>
        <v>0</v>
      </c>
      <c r="I45" s="36">
        <f t="shared" si="5"/>
        <v>0</v>
      </c>
      <c r="J45" s="36">
        <f t="shared" si="6"/>
        <v>0</v>
      </c>
      <c r="K45" s="27"/>
      <c r="L45" s="36">
        <f t="shared" si="7"/>
        <v>0</v>
      </c>
      <c r="M45" s="36">
        <f t="shared" si="8"/>
        <v>0</v>
      </c>
      <c r="N45" s="36">
        <f t="shared" si="9"/>
        <v>0</v>
      </c>
      <c r="O45" s="36">
        <f t="shared" si="10"/>
        <v>0</v>
      </c>
      <c r="P45" s="36"/>
      <c r="Q45" s="36">
        <f t="shared" si="11"/>
        <v>0</v>
      </c>
      <c r="R45" s="36">
        <f t="shared" si="12"/>
        <v>0</v>
      </c>
      <c r="S45" s="60"/>
      <c r="T45" s="60"/>
      <c r="U45" s="33"/>
      <c r="V45" s="33"/>
    </row>
    <row r="46" spans="1:23" s="44" customFormat="1" x14ac:dyDescent="0.25">
      <c r="A46" s="5">
        <v>45693</v>
      </c>
      <c r="B46" s="41"/>
      <c r="C46" s="36">
        <f t="shared" si="2"/>
        <v>0</v>
      </c>
      <c r="D46" s="36">
        <f t="shared" si="3"/>
        <v>0</v>
      </c>
      <c r="E46" s="27"/>
      <c r="F46" s="27"/>
      <c r="G46" s="33"/>
      <c r="H46" s="27">
        <f t="shared" si="4"/>
        <v>0</v>
      </c>
      <c r="I46" s="36">
        <f t="shared" si="5"/>
        <v>0</v>
      </c>
      <c r="J46" s="36">
        <f t="shared" si="6"/>
        <v>0</v>
      </c>
      <c r="K46" s="27"/>
      <c r="L46" s="36">
        <f t="shared" si="7"/>
        <v>0</v>
      </c>
      <c r="M46" s="36">
        <f t="shared" si="8"/>
        <v>0</v>
      </c>
      <c r="N46" s="36">
        <f t="shared" si="9"/>
        <v>0</v>
      </c>
      <c r="O46" s="36">
        <f t="shared" si="10"/>
        <v>0</v>
      </c>
      <c r="P46" s="27"/>
      <c r="Q46" s="36">
        <f t="shared" si="11"/>
        <v>0</v>
      </c>
      <c r="R46" s="36">
        <f t="shared" si="12"/>
        <v>0</v>
      </c>
      <c r="S46" s="60"/>
      <c r="T46" s="60"/>
      <c r="U46" s="33"/>
      <c r="V46" s="33"/>
    </row>
    <row r="47" spans="1:23" s="44" customFormat="1" x14ac:dyDescent="0.25">
      <c r="A47" s="5">
        <v>45724</v>
      </c>
      <c r="B47" s="41"/>
      <c r="C47" s="36">
        <f t="shared" si="2"/>
        <v>0</v>
      </c>
      <c r="D47" s="36">
        <f t="shared" si="3"/>
        <v>0</v>
      </c>
      <c r="E47" s="27"/>
      <c r="F47" s="27"/>
      <c r="G47" s="33"/>
      <c r="H47" s="27">
        <f t="shared" si="4"/>
        <v>0</v>
      </c>
      <c r="I47" s="36">
        <f t="shared" si="5"/>
        <v>0</v>
      </c>
      <c r="J47" s="36">
        <f t="shared" si="6"/>
        <v>0</v>
      </c>
      <c r="K47" s="27"/>
      <c r="L47" s="36">
        <f t="shared" si="7"/>
        <v>0</v>
      </c>
      <c r="M47" s="36">
        <f t="shared" si="8"/>
        <v>0</v>
      </c>
      <c r="N47" s="36">
        <f t="shared" si="9"/>
        <v>0</v>
      </c>
      <c r="O47" s="36">
        <f t="shared" si="10"/>
        <v>0</v>
      </c>
      <c r="P47" s="27"/>
      <c r="Q47" s="36">
        <f t="shared" si="11"/>
        <v>0</v>
      </c>
      <c r="R47" s="36">
        <f t="shared" si="12"/>
        <v>0</v>
      </c>
      <c r="S47" s="60"/>
      <c r="T47" s="60"/>
      <c r="U47" s="33"/>
      <c r="V47" s="33"/>
    </row>
    <row r="48" spans="1:23" s="44" customFormat="1" ht="15.75" thickBot="1" x14ac:dyDescent="0.3">
      <c r="A48" s="5" t="s">
        <v>28</v>
      </c>
      <c r="B48" s="41"/>
      <c r="C48" s="61">
        <f>SUM(C36:C47)</f>
        <v>70112239.104999989</v>
      </c>
      <c r="D48" s="61">
        <f t="shared" ref="D48:E48" si="13">SUM(D36:D47)</f>
        <v>17137994.945</v>
      </c>
      <c r="E48" s="61">
        <f t="shared" si="13"/>
        <v>89530.2</v>
      </c>
      <c r="F48" s="34">
        <f>SUM(F36:F47)</f>
        <v>75000</v>
      </c>
      <c r="G48" s="39"/>
      <c r="H48" s="61">
        <f>SUM(H36:H47)</f>
        <v>13842020.116</v>
      </c>
      <c r="I48" s="61">
        <f t="shared" ref="I48:R48" si="14">SUM(I36:I47)</f>
        <v>865126.25725000002</v>
      </c>
      <c r="J48" s="61">
        <f t="shared" si="14"/>
        <v>865126.25725000002</v>
      </c>
      <c r="K48" s="61"/>
      <c r="L48" s="61">
        <f t="shared" si="14"/>
        <v>103140.29139636127</v>
      </c>
      <c r="M48" s="61">
        <f t="shared" si="14"/>
        <v>74223.48597027731</v>
      </c>
      <c r="N48" s="61">
        <f t="shared" si="14"/>
        <v>495701.58790626377</v>
      </c>
      <c r="O48" s="61">
        <f t="shared" si="14"/>
        <v>80292.631263910851</v>
      </c>
      <c r="P48" s="61"/>
      <c r="Q48" s="61">
        <f t="shared" si="14"/>
        <v>672262.95826333819</v>
      </c>
      <c r="R48" s="61">
        <f t="shared" si="14"/>
        <v>304631.55969984876</v>
      </c>
      <c r="S48" s="39"/>
      <c r="T48" s="39"/>
      <c r="U48" s="39"/>
      <c r="V48" s="39"/>
      <c r="W48" s="59"/>
    </row>
    <row r="49" spans="1:24" s="44" customFormat="1" ht="15.75" thickTop="1" x14ac:dyDescent="0.25">
      <c r="A49" s="41"/>
      <c r="B49" s="41"/>
      <c r="C49" s="39"/>
      <c r="D49" s="42"/>
      <c r="E49" s="42"/>
      <c r="F49" s="42"/>
      <c r="G49" s="42"/>
      <c r="H49" s="42"/>
      <c r="I49" s="42"/>
      <c r="L49" s="42"/>
      <c r="M49" s="42"/>
      <c r="N49" s="42"/>
      <c r="O49" s="42"/>
      <c r="Q49" s="42"/>
    </row>
    <row r="50" spans="1:24" s="44" customFormat="1" x14ac:dyDescent="0.25">
      <c r="A50" s="41"/>
      <c r="B50" s="41"/>
      <c r="C50" s="42">
        <f>C48/W26</f>
        <v>0.80357651607927105</v>
      </c>
      <c r="D50" s="42">
        <f>D48/W26</f>
        <v>0.19642348392072881</v>
      </c>
      <c r="E50" s="42"/>
      <c r="F50" s="42"/>
      <c r="G50" s="42"/>
      <c r="H50" s="42">
        <f>H48/($D$48+$E$48+$F$48)</f>
        <v>0.8</v>
      </c>
      <c r="I50" s="42">
        <f t="shared" ref="I50:R50" si="15">I48/($D$48+$E$48+$F$48)</f>
        <v>0.05</v>
      </c>
      <c r="J50" s="42">
        <f t="shared" si="15"/>
        <v>0.05</v>
      </c>
      <c r="K50" s="42"/>
      <c r="L50" s="42">
        <f t="shared" si="15"/>
        <v>5.960996474908534E-3</v>
      </c>
      <c r="M50" s="42">
        <f t="shared" si="15"/>
        <v>4.2897487706715486E-3</v>
      </c>
      <c r="N50" s="42">
        <f t="shared" si="15"/>
        <v>2.864908929489458E-2</v>
      </c>
      <c r="O50" s="42">
        <f t="shared" si="15"/>
        <v>4.6405152190813854E-3</v>
      </c>
      <c r="P50" s="42"/>
      <c r="Q50" s="42">
        <f t="shared" si="15"/>
        <v>3.8853459401421847E-2</v>
      </c>
      <c r="R50" s="42">
        <f t="shared" si="15"/>
        <v>1.7606190839022113E-2</v>
      </c>
      <c r="S50" s="42"/>
      <c r="T50" s="42"/>
      <c r="U50" s="42"/>
      <c r="V50" s="42"/>
    </row>
    <row r="51" spans="1:24" s="44" customFormat="1" x14ac:dyDescent="0.25">
      <c r="A51" s="41"/>
      <c r="B51" s="41"/>
      <c r="C51" s="42"/>
      <c r="D51" s="42"/>
      <c r="F51" s="39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X51" s="59"/>
    </row>
    <row r="52" spans="1:24" s="44" customFormat="1" x14ac:dyDescent="0.25">
      <c r="A52" s="62" t="s">
        <v>55</v>
      </c>
      <c r="B52" s="41"/>
      <c r="C52" s="42"/>
      <c r="D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X52" s="59"/>
    </row>
    <row r="53" spans="1:24" s="46" customFormat="1" x14ac:dyDescent="0.25">
      <c r="A53" s="63" t="s">
        <v>81</v>
      </c>
      <c r="B53" s="64"/>
      <c r="C53" s="65"/>
      <c r="D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X53" s="59"/>
    </row>
    <row r="54" spans="1:24" s="46" customFormat="1" x14ac:dyDescent="0.25">
      <c r="A54" s="63" t="s">
        <v>57</v>
      </c>
      <c r="B54" s="64"/>
      <c r="C54" s="65"/>
      <c r="D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</row>
    <row r="55" spans="1:24" s="46" customFormat="1" x14ac:dyDescent="0.25">
      <c r="A55" s="63"/>
      <c r="B55" s="64"/>
      <c r="C55" s="65"/>
      <c r="D55" s="65"/>
      <c r="H55" s="66"/>
      <c r="I55" s="66"/>
      <c r="J55" s="66"/>
      <c r="K55" s="65"/>
      <c r="L55" s="67"/>
      <c r="M55" s="67"/>
      <c r="N55" s="67"/>
      <c r="O55" s="67"/>
      <c r="P55" s="65"/>
      <c r="Q55" s="67"/>
      <c r="R55" s="67"/>
      <c r="S55" s="67"/>
      <c r="T55" s="67"/>
      <c r="U55" s="68"/>
      <c r="V55" s="68"/>
      <c r="W55" s="68"/>
    </row>
    <row r="56" spans="1:24" s="46" customFormat="1" ht="15" customHeight="1" x14ac:dyDescent="0.25">
      <c r="A56" s="63" t="s">
        <v>58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1:24" s="46" customFormat="1" x14ac:dyDescent="0.25">
      <c r="B57" s="64"/>
      <c r="C57" s="65"/>
      <c r="D57" s="7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</row>
    <row r="58" spans="1:24" ht="15" customHeight="1" x14ac:dyDescent="0.25">
      <c r="A58" s="71" t="s">
        <v>59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24" x14ac:dyDescent="0.25">
      <c r="A59" s="71" t="s">
        <v>60</v>
      </c>
    </row>
    <row r="61" spans="1:24" x14ac:dyDescent="0.25">
      <c r="A61" s="71" t="s">
        <v>61</v>
      </c>
    </row>
    <row r="62" spans="1:24" x14ac:dyDescent="0.25">
      <c r="A62" s="71"/>
      <c r="B62" s="72"/>
      <c r="C62" s="73"/>
      <c r="D62" s="73"/>
      <c r="E62" s="73"/>
      <c r="F62" s="73"/>
      <c r="G62" s="73"/>
      <c r="H62" s="73"/>
      <c r="I62" s="74"/>
      <c r="J62" s="73"/>
      <c r="K62" s="73"/>
      <c r="L62" s="73"/>
      <c r="M62" s="73"/>
      <c r="N62" s="73"/>
      <c r="O62" s="73"/>
    </row>
    <row r="63" spans="1:24" x14ac:dyDescent="0.25">
      <c r="A63" s="71" t="s">
        <v>71</v>
      </c>
    </row>
    <row r="65" spans="1:1" x14ac:dyDescent="0.25">
      <c r="A65" s="83" t="s">
        <v>72</v>
      </c>
    </row>
  </sheetData>
  <mergeCells count="13">
    <mergeCell ref="L34:R34"/>
    <mergeCell ref="C10:I10"/>
    <mergeCell ref="L10:O10"/>
    <mergeCell ref="Q10:R10"/>
    <mergeCell ref="T10:U10"/>
    <mergeCell ref="A30:W30"/>
    <mergeCell ref="H32:R32"/>
    <mergeCell ref="A8:W8"/>
    <mergeCell ref="A1:W1"/>
    <mergeCell ref="A2:W2"/>
    <mergeCell ref="A3:W3"/>
    <mergeCell ref="A4:W4"/>
    <mergeCell ref="A5:W5"/>
  </mergeCells>
  <hyperlinks>
    <hyperlink ref="A4" r:id="rId1" xr:uid="{4F876DE1-1FAF-4D4E-9A45-7C753D0FBA2D}"/>
  </hyperlinks>
  <printOptions horizontalCentered="1" verticalCentered="1"/>
  <pageMargins left="0" right="0" top="0.25" bottom="0.25" header="0.3" footer="0.3"/>
  <pageSetup scale="5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B508C-9929-45CE-9D46-889B7FA4B7CD}">
  <sheetPr>
    <pageSetUpPr fitToPage="1"/>
  </sheetPr>
  <dimension ref="A1:X65"/>
  <sheetViews>
    <sheetView topLeftCell="A11" zoomScale="90" zoomScaleNormal="90" workbookViewId="0">
      <selection activeCell="L26" sqref="L26"/>
    </sheetView>
  </sheetViews>
  <sheetFormatPr defaultRowHeight="15" x14ac:dyDescent="0.25"/>
  <cols>
    <col min="1" max="1" width="9.28515625" style="5" customWidth="1"/>
    <col min="2" max="2" width="1.7109375" style="5" customWidth="1"/>
    <col min="3" max="3" width="15.5703125" style="29" bestFit="1" customWidth="1"/>
    <col min="4" max="4" width="13.5703125" style="29" customWidth="1"/>
    <col min="5" max="5" width="15.85546875" style="29" customWidth="1"/>
    <col min="6" max="6" width="18.140625" style="29" customWidth="1"/>
    <col min="7" max="7" width="1.85546875" style="29" customWidth="1"/>
    <col min="8" max="8" width="15" style="29" customWidth="1"/>
    <col min="9" max="9" width="11.7109375" style="31" customWidth="1"/>
    <col min="10" max="10" width="11.7109375" style="29" customWidth="1"/>
    <col min="11" max="11" width="1.140625" style="29" customWidth="1"/>
    <col min="12" max="12" width="14" style="29" customWidth="1"/>
    <col min="13" max="13" width="13.85546875" style="29" customWidth="1"/>
    <col min="14" max="14" width="12.7109375" style="29" bestFit="1" customWidth="1"/>
    <col min="15" max="15" width="13.85546875" style="29" bestFit="1" customWidth="1"/>
    <col min="16" max="16" width="2" style="29" customWidth="1"/>
    <col min="17" max="17" width="15" style="29" customWidth="1"/>
    <col min="18" max="18" width="12.140625" style="29" customWidth="1"/>
    <col min="19" max="19" width="2" style="29" customWidth="1"/>
    <col min="20" max="20" width="13.28515625" style="29" customWidth="1"/>
    <col min="21" max="21" width="12.140625" style="1" customWidth="1"/>
    <col min="22" max="22" width="2" style="1" customWidth="1"/>
    <col min="23" max="23" width="16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4" ht="18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4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4" s="2" customFormat="1" ht="15.75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4" s="3" customFormat="1" ht="14.25" customHeight="1" x14ac:dyDescent="0.25">
      <c r="A4" s="98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4" s="3" customForma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/>
    </row>
    <row r="6" spans="1:24" s="2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4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4" s="9" customFormat="1" ht="14.25" customHeight="1" x14ac:dyDescent="0.25">
      <c r="A8" s="93" t="s">
        <v>80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5"/>
    </row>
    <row r="9" spans="1:24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4" s="14" customFormat="1" ht="28.9" customHeight="1" x14ac:dyDescent="0.2">
      <c r="A10" s="10"/>
      <c r="B10" s="10"/>
      <c r="C10" s="102" t="s">
        <v>6</v>
      </c>
      <c r="D10" s="103"/>
      <c r="E10" s="103"/>
      <c r="F10" s="103"/>
      <c r="G10" s="103"/>
      <c r="H10" s="103"/>
      <c r="I10" s="103"/>
      <c r="J10" s="11"/>
      <c r="K10" s="12"/>
      <c r="L10" s="102" t="s">
        <v>7</v>
      </c>
      <c r="M10" s="103"/>
      <c r="N10" s="103"/>
      <c r="O10" s="104"/>
      <c r="P10" s="13"/>
      <c r="Q10" s="102" t="s">
        <v>8</v>
      </c>
      <c r="R10" s="104"/>
      <c r="S10" s="77"/>
      <c r="T10" s="105" t="s">
        <v>67</v>
      </c>
      <c r="U10" s="106"/>
      <c r="V10" s="79"/>
    </row>
    <row r="11" spans="1:24" s="19" customFormat="1" ht="12" x14ac:dyDescent="0.2">
      <c r="A11" s="15"/>
      <c r="B11" s="15"/>
      <c r="C11" s="16"/>
      <c r="D11" s="17" t="s">
        <v>9</v>
      </c>
      <c r="E11" s="16"/>
      <c r="F11" s="16"/>
      <c r="G11" s="16"/>
      <c r="H11" s="18" t="s">
        <v>10</v>
      </c>
      <c r="I11" s="16"/>
      <c r="J11" s="16"/>
      <c r="K11" s="16"/>
      <c r="L11" s="17" t="s">
        <v>11</v>
      </c>
      <c r="M11" s="17"/>
      <c r="N11" s="17" t="s">
        <v>9</v>
      </c>
      <c r="O11" s="17" t="s">
        <v>11</v>
      </c>
      <c r="Q11" s="17" t="s">
        <v>11</v>
      </c>
      <c r="R11" s="17" t="s">
        <v>11</v>
      </c>
      <c r="S11" s="17"/>
      <c r="T11" s="22" t="s">
        <v>68</v>
      </c>
      <c r="U11" s="22" t="s">
        <v>68</v>
      </c>
      <c r="V11" s="22"/>
      <c r="W11" s="17" t="s">
        <v>11</v>
      </c>
    </row>
    <row r="12" spans="1:24" s="22" customFormat="1" ht="12" x14ac:dyDescent="0.2">
      <c r="A12" s="20"/>
      <c r="B12" s="20"/>
      <c r="C12" s="17" t="s">
        <v>12</v>
      </c>
      <c r="D12" s="21" t="s">
        <v>13</v>
      </c>
      <c r="E12" s="17" t="s">
        <v>12</v>
      </c>
      <c r="F12" s="17" t="s">
        <v>14</v>
      </c>
      <c r="G12" s="17"/>
      <c r="H12" s="18" t="s">
        <v>15</v>
      </c>
      <c r="I12" s="17" t="s">
        <v>16</v>
      </c>
      <c r="J12" s="17"/>
      <c r="K12" s="17"/>
      <c r="L12" s="22" t="s">
        <v>10</v>
      </c>
      <c r="M12" s="17" t="s">
        <v>17</v>
      </c>
      <c r="N12" s="17" t="s">
        <v>17</v>
      </c>
      <c r="O12" s="17" t="s">
        <v>17</v>
      </c>
      <c r="Q12" s="22" t="s">
        <v>10</v>
      </c>
      <c r="R12" s="17" t="s">
        <v>18</v>
      </c>
      <c r="S12" s="17"/>
      <c r="T12" s="22" t="s">
        <v>69</v>
      </c>
      <c r="U12" s="22" t="s">
        <v>69</v>
      </c>
      <c r="W12" s="17" t="s">
        <v>11</v>
      </c>
    </row>
    <row r="13" spans="1:24" s="22" customFormat="1" ht="12" x14ac:dyDescent="0.2">
      <c r="A13" s="23" t="s">
        <v>19</v>
      </c>
      <c r="B13" s="23"/>
      <c r="C13" s="24" t="s">
        <v>20</v>
      </c>
      <c r="D13" s="24" t="s">
        <v>12</v>
      </c>
      <c r="E13" s="24" t="s">
        <v>21</v>
      </c>
      <c r="F13" s="24" t="s">
        <v>22</v>
      </c>
      <c r="G13" s="24"/>
      <c r="H13" s="25" t="s">
        <v>23</v>
      </c>
      <c r="I13" s="24" t="s">
        <v>24</v>
      </c>
      <c r="J13" s="21"/>
      <c r="K13" s="21"/>
      <c r="L13" s="24" t="s">
        <v>25</v>
      </c>
      <c r="M13" s="24" t="s">
        <v>26</v>
      </c>
      <c r="N13" s="24" t="s">
        <v>12</v>
      </c>
      <c r="O13" s="24" t="s">
        <v>22</v>
      </c>
      <c r="P13" s="26"/>
      <c r="Q13" s="24" t="s">
        <v>8</v>
      </c>
      <c r="R13" s="24" t="s">
        <v>22</v>
      </c>
      <c r="S13" s="21"/>
      <c r="T13" s="78" t="s">
        <v>76</v>
      </c>
      <c r="U13" s="78" t="s">
        <v>22</v>
      </c>
      <c r="V13" s="26"/>
      <c r="W13" s="24" t="s">
        <v>27</v>
      </c>
    </row>
    <row r="14" spans="1:24" x14ac:dyDescent="0.25">
      <c r="A14" s="5">
        <v>45017</v>
      </c>
      <c r="C14" s="27">
        <v>121099544.05999999</v>
      </c>
      <c r="D14" s="27">
        <v>2463692.84</v>
      </c>
      <c r="E14" s="27">
        <v>110387924.67</v>
      </c>
      <c r="F14" s="27">
        <v>8247926.5500000026</v>
      </c>
      <c r="G14" s="27"/>
      <c r="H14" s="28">
        <v>1608</v>
      </c>
      <c r="I14" s="27">
        <v>170.97691853233837</v>
      </c>
      <c r="J14" s="27"/>
      <c r="L14" s="30">
        <v>149</v>
      </c>
      <c r="M14" s="27">
        <v>42729115</v>
      </c>
      <c r="N14" s="27">
        <v>151810</v>
      </c>
      <c r="O14" s="27">
        <v>10254680.25</v>
      </c>
      <c r="Q14" s="31">
        <v>19</v>
      </c>
      <c r="R14" s="29">
        <v>417808</v>
      </c>
      <c r="T14" s="29">
        <v>1302006.6000000001</v>
      </c>
      <c r="U14" s="27">
        <v>67039.149999999965</v>
      </c>
      <c r="W14" s="27">
        <f>R14+O14+F14+U14</f>
        <v>18987453.950000003</v>
      </c>
    </row>
    <row r="15" spans="1:24" x14ac:dyDescent="0.25">
      <c r="A15" s="5">
        <v>45047</v>
      </c>
      <c r="C15" s="27">
        <v>129297758.88000001</v>
      </c>
      <c r="D15" s="27">
        <v>2808056.67</v>
      </c>
      <c r="E15" s="27">
        <v>117352617.16</v>
      </c>
      <c r="F15" s="27">
        <v>9137085.0500000045</v>
      </c>
      <c r="G15" s="27"/>
      <c r="H15" s="28">
        <v>1602</v>
      </c>
      <c r="I15" s="27">
        <v>183.98544259192147</v>
      </c>
      <c r="J15" s="27"/>
      <c r="K15" s="32"/>
      <c r="L15" s="30">
        <v>149</v>
      </c>
      <c r="M15" s="27">
        <v>45660965</v>
      </c>
      <c r="N15" s="27">
        <v>207515</v>
      </c>
      <c r="O15" s="27">
        <v>7323886.25</v>
      </c>
      <c r="P15" s="32"/>
      <c r="Q15" s="31">
        <v>19</v>
      </c>
      <c r="R15" s="29">
        <v>344093</v>
      </c>
      <c r="T15" s="29">
        <v>1118362.55</v>
      </c>
      <c r="U15" s="29">
        <v>269375.69999999995</v>
      </c>
      <c r="V15" s="32"/>
      <c r="W15" s="27">
        <f t="shared" ref="W15:W25" si="0">R15+O15+F15+U15</f>
        <v>17074440.000000004</v>
      </c>
    </row>
    <row r="16" spans="1:24" x14ac:dyDescent="0.25">
      <c r="A16" s="5">
        <v>45078</v>
      </c>
      <c r="C16" s="27">
        <v>126061990.06999998</v>
      </c>
      <c r="D16" s="27">
        <v>2694769.08</v>
      </c>
      <c r="E16" s="27">
        <v>114956957.76000001</v>
      </c>
      <c r="F16" s="27">
        <v>8410263.2300000023</v>
      </c>
      <c r="G16" s="27"/>
      <c r="H16" s="28">
        <v>1602</v>
      </c>
      <c r="I16" s="27">
        <v>174.9950734498544</v>
      </c>
      <c r="J16" s="27"/>
      <c r="K16" s="32"/>
      <c r="L16" s="32">
        <v>149</v>
      </c>
      <c r="M16" s="27">
        <v>42299354.049999997</v>
      </c>
      <c r="N16" s="27">
        <v>190590</v>
      </c>
      <c r="O16" s="27">
        <v>9789880.3000000007</v>
      </c>
      <c r="P16" s="32"/>
      <c r="Q16" s="31">
        <v>19</v>
      </c>
      <c r="R16" s="29">
        <v>384038</v>
      </c>
      <c r="T16" s="29">
        <v>759281.15</v>
      </c>
      <c r="U16" s="27">
        <v>-113427.39999999998</v>
      </c>
      <c r="V16" s="32"/>
      <c r="W16" s="27">
        <f t="shared" si="0"/>
        <v>18470754.130000003</v>
      </c>
    </row>
    <row r="17" spans="1:23" x14ac:dyDescent="0.25">
      <c r="A17" s="5">
        <v>45108</v>
      </c>
      <c r="C17" s="27">
        <v>137062395.62000003</v>
      </c>
      <c r="D17" s="27">
        <v>2398132.62</v>
      </c>
      <c r="E17" s="27">
        <v>125017935.54000001</v>
      </c>
      <c r="F17" s="27">
        <v>9646327.4600000046</v>
      </c>
      <c r="G17" s="33"/>
      <c r="H17" s="28">
        <v>1602</v>
      </c>
      <c r="I17" s="27">
        <v>194.23960895654633</v>
      </c>
      <c r="J17" s="27"/>
      <c r="K17" s="33"/>
      <c r="L17" s="32">
        <v>148</v>
      </c>
      <c r="M17" s="27">
        <v>49783852</v>
      </c>
      <c r="N17" s="27">
        <v>342700</v>
      </c>
      <c r="O17" s="27">
        <v>6158735.5</v>
      </c>
      <c r="P17" s="33"/>
      <c r="Q17" s="31">
        <v>19</v>
      </c>
      <c r="R17" s="29">
        <v>444212</v>
      </c>
      <c r="T17" s="29">
        <v>750783.65</v>
      </c>
      <c r="U17" s="29">
        <v>17629.850000000009</v>
      </c>
      <c r="V17" s="33"/>
      <c r="W17" s="27">
        <f t="shared" si="0"/>
        <v>16266904.810000004</v>
      </c>
    </row>
    <row r="18" spans="1:23" x14ac:dyDescent="0.25">
      <c r="A18" s="5">
        <v>45139</v>
      </c>
      <c r="C18" s="27">
        <v>132829121.39</v>
      </c>
      <c r="D18" s="27">
        <v>2869710.6</v>
      </c>
      <c r="E18" s="27">
        <v>120788404.97</v>
      </c>
      <c r="F18" s="27">
        <v>9171005.8200000022</v>
      </c>
      <c r="G18" s="33"/>
      <c r="H18" s="28">
        <v>1602</v>
      </c>
      <c r="I18" s="27">
        <v>184.66847529298059</v>
      </c>
      <c r="J18" s="27"/>
      <c r="K18" s="33"/>
      <c r="L18" s="90">
        <v>147.48387096774192</v>
      </c>
      <c r="M18" s="27">
        <v>46846681.5</v>
      </c>
      <c r="N18" s="27">
        <v>436355</v>
      </c>
      <c r="O18" s="27">
        <v>9839709.25</v>
      </c>
      <c r="P18" s="33"/>
      <c r="Q18" s="31">
        <v>19</v>
      </c>
      <c r="R18" s="29">
        <v>386077</v>
      </c>
      <c r="T18" s="29">
        <v>1076076.95</v>
      </c>
      <c r="U18" s="29">
        <v>186543.69999999998</v>
      </c>
      <c r="V18" s="33"/>
      <c r="W18" s="27">
        <f t="shared" si="0"/>
        <v>19583335.77</v>
      </c>
    </row>
    <row r="19" spans="1:23" x14ac:dyDescent="0.25">
      <c r="A19" s="5">
        <v>45170</v>
      </c>
      <c r="C19" s="27">
        <v>128122137.04999998</v>
      </c>
      <c r="D19" s="27">
        <v>2531651.12</v>
      </c>
      <c r="E19" s="27">
        <v>116716263.14</v>
      </c>
      <c r="F19" s="27">
        <v>8874222.790000001</v>
      </c>
      <c r="G19" s="33"/>
      <c r="H19" s="28">
        <v>1602</v>
      </c>
      <c r="I19" s="27">
        <v>184.64883042030797</v>
      </c>
      <c r="J19" s="27"/>
      <c r="K19" s="33"/>
      <c r="L19" s="32">
        <v>147</v>
      </c>
      <c r="M19" s="27">
        <v>42990753</v>
      </c>
      <c r="N19" s="27">
        <v>388655</v>
      </c>
      <c r="O19" s="27">
        <v>10464157.75</v>
      </c>
      <c r="P19" s="33"/>
      <c r="Q19" s="31">
        <v>19</v>
      </c>
      <c r="R19" s="29">
        <v>372966</v>
      </c>
      <c r="T19" s="29">
        <v>2388674.7000000002</v>
      </c>
      <c r="U19" s="29">
        <v>267735.39999999997</v>
      </c>
      <c r="V19" s="33"/>
      <c r="W19" s="27">
        <f t="shared" si="0"/>
        <v>19979081.939999998</v>
      </c>
    </row>
    <row r="20" spans="1:23" x14ac:dyDescent="0.25">
      <c r="A20" s="5">
        <v>45200</v>
      </c>
      <c r="C20" s="27">
        <v>119223016.33999999</v>
      </c>
      <c r="D20" s="27">
        <v>2413051.65</v>
      </c>
      <c r="E20" s="27">
        <v>108758621.65000001</v>
      </c>
      <c r="F20" s="27">
        <v>8051343.0399999991</v>
      </c>
      <c r="G20" s="33"/>
      <c r="H20" s="28">
        <v>1602</v>
      </c>
      <c r="I20" s="91">
        <v>162.12281100237604</v>
      </c>
      <c r="J20" s="27"/>
      <c r="K20" s="33"/>
      <c r="L20" s="32">
        <v>140</v>
      </c>
      <c r="M20" s="27">
        <v>44005887</v>
      </c>
      <c r="N20" s="27">
        <v>370285</v>
      </c>
      <c r="O20" s="27">
        <v>8049147</v>
      </c>
      <c r="P20" s="33"/>
      <c r="Q20" s="31">
        <v>19</v>
      </c>
      <c r="R20" s="29">
        <v>392491</v>
      </c>
      <c r="T20" s="29">
        <v>1562371.45</v>
      </c>
      <c r="U20" s="29">
        <v>113279.75</v>
      </c>
      <c r="V20" s="33"/>
      <c r="W20" s="27">
        <f t="shared" si="0"/>
        <v>16606260.789999999</v>
      </c>
    </row>
    <row r="21" spans="1:23" x14ac:dyDescent="0.25">
      <c r="A21" s="5">
        <v>45231</v>
      </c>
      <c r="C21" s="27">
        <v>113037722.31999999</v>
      </c>
      <c r="D21" s="27">
        <v>2210186.0699999998</v>
      </c>
      <c r="E21" s="27">
        <v>102746984.11</v>
      </c>
      <c r="F21" s="27">
        <v>8080552.1399999978</v>
      </c>
      <c r="G21" s="33"/>
      <c r="H21" s="28">
        <v>1602</v>
      </c>
      <c r="I21" s="91">
        <v>168.13466791510606</v>
      </c>
      <c r="J21" s="27"/>
      <c r="K21" s="33"/>
      <c r="L21" s="32">
        <v>133</v>
      </c>
      <c r="M21" s="27">
        <v>38991768</v>
      </c>
      <c r="N21" s="27">
        <v>382600</v>
      </c>
      <c r="O21" s="27">
        <v>7314070.5</v>
      </c>
      <c r="P21" s="33"/>
      <c r="Q21" s="31">
        <v>19</v>
      </c>
      <c r="R21" s="29">
        <v>374527</v>
      </c>
      <c r="T21" s="29">
        <v>3453422.25</v>
      </c>
      <c r="U21" s="27">
        <v>-44115.600000000013</v>
      </c>
      <c r="V21" s="33"/>
      <c r="W21" s="27">
        <f t="shared" si="0"/>
        <v>15725034.039999997</v>
      </c>
    </row>
    <row r="22" spans="1:23" x14ac:dyDescent="0.25">
      <c r="A22" s="5">
        <v>45261</v>
      </c>
      <c r="C22" s="27">
        <v>116100948.22999997</v>
      </c>
      <c r="D22" s="27">
        <v>2559349.64</v>
      </c>
      <c r="E22" s="27">
        <v>105470326.06</v>
      </c>
      <c r="F22" s="27">
        <v>8071272.5299999947</v>
      </c>
      <c r="G22" s="33"/>
      <c r="H22" s="28">
        <v>1605.2903225806451</v>
      </c>
      <c r="I22" s="27">
        <v>162.19099208262992</v>
      </c>
      <c r="J22" s="27"/>
      <c r="K22" s="33"/>
      <c r="L22" s="32">
        <v>133</v>
      </c>
      <c r="M22" s="27">
        <v>46932720</v>
      </c>
      <c r="N22" s="27">
        <v>528975</v>
      </c>
      <c r="O22" s="27">
        <v>6715210.5</v>
      </c>
      <c r="P22" s="32"/>
      <c r="Q22" s="31">
        <v>19</v>
      </c>
      <c r="R22" s="29">
        <v>440491</v>
      </c>
      <c r="T22" s="29">
        <v>2318561.8000000003</v>
      </c>
      <c r="U22" s="29">
        <v>97044.800000000061</v>
      </c>
      <c r="V22" s="32"/>
      <c r="W22" s="27">
        <f t="shared" si="0"/>
        <v>15324018.829999994</v>
      </c>
    </row>
    <row r="23" spans="1:23" x14ac:dyDescent="0.25">
      <c r="A23" s="5">
        <v>45292</v>
      </c>
      <c r="C23" s="27">
        <v>99062372.530000001</v>
      </c>
      <c r="D23" s="27">
        <v>2232115.0099999998</v>
      </c>
      <c r="E23" s="27">
        <v>89957995.519999996</v>
      </c>
      <c r="F23" s="27">
        <v>6872262</v>
      </c>
      <c r="G23" s="33"/>
      <c r="H23" s="28">
        <v>1636</v>
      </c>
      <c r="I23" s="27">
        <v>135.50481110497674</v>
      </c>
      <c r="J23" s="27"/>
      <c r="K23" s="33"/>
      <c r="L23" s="32">
        <v>133</v>
      </c>
      <c r="M23" s="27">
        <v>39301403</v>
      </c>
      <c r="N23" s="27">
        <v>460625</v>
      </c>
      <c r="O23" s="27">
        <v>8341703</v>
      </c>
      <c r="P23" s="33"/>
      <c r="Q23" s="31">
        <v>19</v>
      </c>
      <c r="R23" s="29">
        <v>321422</v>
      </c>
      <c r="T23" s="29">
        <v>1727296.9500000002</v>
      </c>
      <c r="U23" s="27">
        <v>-14074.90000000002</v>
      </c>
      <c r="V23" s="33"/>
      <c r="W23" s="27">
        <f t="shared" si="0"/>
        <v>15521312.1</v>
      </c>
    </row>
    <row r="24" spans="1:23" x14ac:dyDescent="0.25">
      <c r="A24" s="5">
        <v>45323</v>
      </c>
      <c r="C24" s="27">
        <v>108924924.75</v>
      </c>
      <c r="D24" s="27">
        <v>2406203.04</v>
      </c>
      <c r="E24" s="27">
        <v>99149977.650000006</v>
      </c>
      <c r="F24" s="27">
        <v>7368744.0599999977</v>
      </c>
      <c r="G24" s="33"/>
      <c r="H24" s="28">
        <v>1636</v>
      </c>
      <c r="I24" s="27">
        <v>155</v>
      </c>
      <c r="J24" s="27"/>
      <c r="K24" s="33"/>
      <c r="L24" s="32">
        <v>133</v>
      </c>
      <c r="M24" s="27">
        <v>40929912.25</v>
      </c>
      <c r="N24" s="27">
        <v>535885</v>
      </c>
      <c r="O24" s="27">
        <v>8785030.75</v>
      </c>
      <c r="P24" s="33"/>
      <c r="Q24" s="31">
        <v>19</v>
      </c>
      <c r="R24" s="29">
        <v>350456</v>
      </c>
      <c r="T24" s="29">
        <v>1091673.5999999999</v>
      </c>
      <c r="U24" s="27">
        <v>-101441.50000000001</v>
      </c>
      <c r="V24" s="33"/>
      <c r="W24" s="27">
        <f t="shared" si="0"/>
        <v>16402789.309999999</v>
      </c>
    </row>
    <row r="25" spans="1:23" x14ac:dyDescent="0.25">
      <c r="A25" s="5">
        <v>45352</v>
      </c>
      <c r="C25" s="27">
        <v>123107568.73999998</v>
      </c>
      <c r="D25" s="27">
        <v>2527374.9</v>
      </c>
      <c r="E25" s="27">
        <v>111861444.37</v>
      </c>
      <c r="F25" s="27">
        <v>8718749.4699999988</v>
      </c>
      <c r="G25" s="33"/>
      <c r="H25" s="28">
        <v>1636</v>
      </c>
      <c r="I25" s="27">
        <v>171.91319248363433</v>
      </c>
      <c r="J25" s="27"/>
      <c r="K25" s="33"/>
      <c r="L25" s="32">
        <v>133</v>
      </c>
      <c r="M25" s="27">
        <v>44690858</v>
      </c>
      <c r="N25" s="27">
        <v>580605</v>
      </c>
      <c r="O25" s="27">
        <v>8312892.5</v>
      </c>
      <c r="P25" s="33"/>
      <c r="Q25" s="31">
        <v>19</v>
      </c>
      <c r="R25" s="29">
        <v>408718</v>
      </c>
      <c r="T25" s="29">
        <v>735038.29999999993</v>
      </c>
      <c r="U25" s="27">
        <v>94798.299999999974</v>
      </c>
      <c r="V25" s="33"/>
      <c r="W25" s="27">
        <f t="shared" si="0"/>
        <v>17535158.27</v>
      </c>
    </row>
    <row r="26" spans="1:23" ht="15.75" thickBot="1" x14ac:dyDescent="0.3">
      <c r="A26" s="5" t="s">
        <v>28</v>
      </c>
      <c r="C26" s="34">
        <f>SUM(C14:C25)</f>
        <v>1453929499.98</v>
      </c>
      <c r="D26" s="34">
        <f t="shared" ref="D26:E26" si="1">SUM(D14:D25)</f>
        <v>30114293.239999995</v>
      </c>
      <c r="E26" s="34">
        <f t="shared" si="1"/>
        <v>1323165452.5999999</v>
      </c>
      <c r="F26" s="34">
        <f>SUM(F14:F25)</f>
        <v>100649754.14000002</v>
      </c>
      <c r="G26" s="34"/>
      <c r="H26" s="35">
        <v>1611.22</v>
      </c>
      <c r="I26" s="34">
        <f>F26/H26/366</f>
        <v>170.6777027664541</v>
      </c>
      <c r="J26" s="36"/>
      <c r="K26" s="27"/>
      <c r="L26" s="37">
        <f>+AVERAGE(L14:L25)</f>
        <v>141.20698924731184</v>
      </c>
      <c r="M26" s="34">
        <f>SUM(M14:M25)</f>
        <v>525163268.80000001</v>
      </c>
      <c r="N26" s="34">
        <f>SUM(N14:N25)</f>
        <v>4576600</v>
      </c>
      <c r="O26" s="34">
        <f>SUM(O14:O25)</f>
        <v>101349103.55</v>
      </c>
      <c r="P26" s="36"/>
      <c r="Q26" s="87">
        <v>19</v>
      </c>
      <c r="R26" s="34">
        <f>SUM(R14:R25)</f>
        <v>4637299</v>
      </c>
      <c r="S26" s="36"/>
      <c r="T26" s="34">
        <f>SUM(T14:T25)</f>
        <v>18283549.950000003</v>
      </c>
      <c r="U26" s="34">
        <f>SUM(U14:U25)</f>
        <v>840387.24999999988</v>
      </c>
      <c r="V26" s="36"/>
      <c r="W26" s="34">
        <f>SUM(W14:W25)</f>
        <v>207476543.94</v>
      </c>
    </row>
    <row r="27" spans="1:23" ht="10.5" customHeight="1" thickTop="1" x14ac:dyDescent="0.25">
      <c r="C27" s="39"/>
      <c r="D27" s="39"/>
      <c r="E27" s="39"/>
      <c r="F27" s="39"/>
      <c r="G27" s="39"/>
      <c r="H27" s="39"/>
      <c r="L27" s="40"/>
      <c r="M27" s="39"/>
      <c r="N27" s="39"/>
      <c r="O27" s="39"/>
      <c r="P27" s="39"/>
      <c r="Q27" s="40"/>
      <c r="R27" s="39"/>
      <c r="S27" s="39"/>
      <c r="T27" s="39"/>
    </row>
    <row r="28" spans="1:23" s="44" customFormat="1" x14ac:dyDescent="0.25">
      <c r="A28" s="41"/>
      <c r="B28" s="41"/>
      <c r="C28" s="42"/>
      <c r="D28" s="43">
        <f>D26/$C$26</f>
        <v>2.0712347634747243E-2</v>
      </c>
      <c r="E28" s="43">
        <f>E26/$C$26</f>
        <v>0.91006163133645823</v>
      </c>
      <c r="F28" s="43">
        <f>F26/$C$26</f>
        <v>6.922602102879441E-2</v>
      </c>
      <c r="G28" s="43"/>
      <c r="H28" s="42"/>
      <c r="L28" s="42"/>
      <c r="M28" s="42"/>
      <c r="N28" s="42"/>
      <c r="O28" s="42">
        <f>O26/$M$26</f>
        <v>0.19298589518947712</v>
      </c>
      <c r="P28" s="42"/>
      <c r="Q28" s="42"/>
      <c r="R28" s="42"/>
      <c r="S28" s="42"/>
      <c r="T28" s="42"/>
    </row>
    <row r="29" spans="1:23" s="44" customFormat="1" x14ac:dyDescent="0.25">
      <c r="A29" s="41"/>
      <c r="B29" s="41"/>
      <c r="C29" s="42"/>
      <c r="D29" s="42"/>
      <c r="E29" s="42"/>
      <c r="F29" s="42"/>
      <c r="G29" s="42"/>
      <c r="H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3" s="44" customFormat="1" x14ac:dyDescent="0.25">
      <c r="A30" s="93" t="s">
        <v>29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</row>
    <row r="31" spans="1:23" s="46" customForma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3" s="46" customFormat="1" x14ac:dyDescent="0.25">
      <c r="A32" s="45"/>
      <c r="B32" s="45"/>
      <c r="C32" s="45"/>
      <c r="D32" s="45"/>
      <c r="E32" s="45"/>
      <c r="F32" s="45"/>
      <c r="G32" s="45"/>
      <c r="H32" s="107" t="s">
        <v>30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45"/>
      <c r="T32" s="45"/>
      <c r="U32" s="45"/>
      <c r="V32" s="45"/>
      <c r="W32" s="45"/>
    </row>
    <row r="33" spans="1:23" s="48" customFormat="1" ht="12" x14ac:dyDescent="0.2">
      <c r="F33" s="48" t="s">
        <v>31</v>
      </c>
      <c r="H33" s="49" t="s">
        <v>32</v>
      </c>
      <c r="I33" s="49" t="s">
        <v>33</v>
      </c>
      <c r="J33" s="49" t="s">
        <v>34</v>
      </c>
      <c r="K33" s="50"/>
      <c r="L33" s="50"/>
      <c r="M33" s="51"/>
      <c r="N33" s="51"/>
      <c r="O33" s="51"/>
      <c r="P33" s="51"/>
      <c r="Q33" s="51"/>
      <c r="R33" s="52"/>
      <c r="S33" s="52"/>
      <c r="T33" s="52"/>
    </row>
    <row r="34" spans="1:23" s="48" customFormat="1" ht="12.75" customHeight="1" x14ac:dyDescent="0.2">
      <c r="C34" s="17" t="s">
        <v>35</v>
      </c>
      <c r="D34" s="48" t="s">
        <v>11</v>
      </c>
      <c r="E34" s="48" t="s">
        <v>36</v>
      </c>
      <c r="F34" s="48" t="s">
        <v>37</v>
      </c>
      <c r="H34" s="49" t="s">
        <v>38</v>
      </c>
      <c r="I34" s="49" t="s">
        <v>39</v>
      </c>
      <c r="J34" s="49" t="s">
        <v>40</v>
      </c>
      <c r="K34" s="50"/>
      <c r="L34" s="101" t="s">
        <v>41</v>
      </c>
      <c r="M34" s="101"/>
      <c r="N34" s="101"/>
      <c r="O34" s="101"/>
      <c r="P34" s="101"/>
      <c r="Q34" s="101"/>
      <c r="R34" s="101"/>
      <c r="S34" s="51"/>
      <c r="T34" s="51"/>
      <c r="U34" s="51"/>
      <c r="V34" s="51"/>
      <c r="W34" s="51"/>
    </row>
    <row r="35" spans="1:23" s="48" customFormat="1" ht="12" x14ac:dyDescent="0.2">
      <c r="C35" s="24" t="s">
        <v>42</v>
      </c>
      <c r="D35" s="53" t="s">
        <v>43</v>
      </c>
      <c r="E35" s="53" t="s">
        <v>44</v>
      </c>
      <c r="F35" s="53" t="s">
        <v>45</v>
      </c>
      <c r="G35" s="52"/>
      <c r="H35" s="54" t="s">
        <v>46</v>
      </c>
      <c r="I35" s="54" t="s">
        <v>47</v>
      </c>
      <c r="J35" s="54" t="s">
        <v>48</v>
      </c>
      <c r="K35" s="89"/>
      <c r="L35" s="89" t="s">
        <v>49</v>
      </c>
      <c r="M35" s="89" t="s">
        <v>50</v>
      </c>
      <c r="N35" s="89" t="s">
        <v>51</v>
      </c>
      <c r="O35" s="89" t="s">
        <v>52</v>
      </c>
      <c r="P35" s="56"/>
      <c r="Q35" s="89" t="s">
        <v>53</v>
      </c>
      <c r="R35" s="57" t="s">
        <v>54</v>
      </c>
      <c r="S35" s="52"/>
      <c r="T35" s="52"/>
      <c r="U35" s="52"/>
      <c r="V35" s="52"/>
    </row>
    <row r="36" spans="1:23" s="44" customFormat="1" x14ac:dyDescent="0.25">
      <c r="A36" s="5">
        <v>45017</v>
      </c>
      <c r="B36" s="41"/>
      <c r="C36" s="36">
        <f t="shared" ref="C36:C47" si="2">(F14*0.7)+(O14+R14+U14)*0.9</f>
        <v>15439123.245000001</v>
      </c>
      <c r="D36" s="36">
        <f t="shared" ref="D36:D47" si="3">(F14*0.3)+(O14+R14+U14)*0.1</f>
        <v>3548330.705000001</v>
      </c>
      <c r="E36" s="27">
        <v>12402.42</v>
      </c>
      <c r="F36" s="27">
        <v>6000</v>
      </c>
      <c r="H36" s="27">
        <f t="shared" ref="H36:H47" si="4">F14*0.3*0.8+(O14+R14+U14)*0.1*0.8+((E36+F36)*0.8)</f>
        <v>2853386.5000000009</v>
      </c>
      <c r="I36" s="36">
        <f t="shared" ref="I36:I47" si="5">(F14*0.3*0.05+(O14+R14+U14)*0.1*0.05+((E36+F36)*0.05))</f>
        <v>178336.65625000006</v>
      </c>
      <c r="J36" s="36">
        <f t="shared" ref="J36:J47" si="6">F14*0.3*0.05+(O14+R14+U14)*0.1*0.05+(E36+F36)*0.05</f>
        <v>178336.65625000006</v>
      </c>
      <c r="K36" s="27"/>
      <c r="L36" s="36">
        <f>(F14*0.3*0.1+(O14+R14+U14)*0.1*0.1)*61570/1032881+((E36+F36)*0.1*61570/1032881)</f>
        <v>21261.283585064499</v>
      </c>
      <c r="M36" s="36">
        <f>(F14*0.3*0.1+(O14+R14+U14)*0.1*0.1)*44308/1032881+((E36+F36)*0.1*44308/1032881)</f>
        <v>15300.389038282246</v>
      </c>
      <c r="N36" s="36">
        <f>(F14*0.3*0.1+(O14+R14+U14)*0.1*0.1)*295911/1032881+((E36+F36)*0.1*295911/1032881)</f>
        <v>102183.65578918338</v>
      </c>
      <c r="O36" s="36">
        <f>(F14*0.3*0.1+(O14+R14+U14)*0.1*0.1)*47931/1032881+((E36+F36)*0.1*47931/1032881)</f>
        <v>16551.479348964211</v>
      </c>
      <c r="P36" s="58"/>
      <c r="Q36" s="36">
        <f>(F14*0.3*0.1+(O14+R14+U14)*0.1*0.1)*401310/1032881+((E36+F36)*0.1*401310/1032881)</f>
        <v>138579.92066789401</v>
      </c>
      <c r="R36" s="36">
        <f>(F14*0.3*0.1+(O14+R14+U14)*0.1*0.1)*181851/1032881+((E36+F36)*0.1*181851/1032881)</f>
        <v>62796.584070611731</v>
      </c>
      <c r="S36" s="36"/>
      <c r="T36" s="36"/>
      <c r="U36" s="27"/>
      <c r="V36" s="27"/>
    </row>
    <row r="37" spans="1:23" s="44" customFormat="1" x14ac:dyDescent="0.25">
      <c r="A37" s="5">
        <v>45047</v>
      </c>
      <c r="B37" s="41"/>
      <c r="C37" s="36">
        <f t="shared" si="2"/>
        <v>13539578.990000002</v>
      </c>
      <c r="D37" s="36">
        <f t="shared" si="3"/>
        <v>3534861.0100000012</v>
      </c>
      <c r="E37" s="27">
        <v>16601.57</v>
      </c>
      <c r="F37" s="27">
        <v>0</v>
      </c>
      <c r="H37" s="27">
        <f t="shared" si="4"/>
        <v>2841170.0640000012</v>
      </c>
      <c r="I37" s="36">
        <f t="shared" si="5"/>
        <v>177573.12900000007</v>
      </c>
      <c r="J37" s="36">
        <f t="shared" si="6"/>
        <v>177573.12900000007</v>
      </c>
      <c r="K37" s="27"/>
      <c r="L37" s="36">
        <f t="shared" ref="L37:L47" si="7">(F15*0.3*0.1+(O15+R15+U15)*0.1*0.1)*61570/1032881+((E37+F37)*0.1*61570/1032881)</f>
        <v>21170.255920149571</v>
      </c>
      <c r="M37" s="36">
        <f t="shared" ref="M37:M47" si="8">(F15*0.3*0.1+(O15+R15+U15)*0.1*0.1)*44308/1032881+((E37+F37)*0.1*44308/1032881)</f>
        <v>15234.882236641013</v>
      </c>
      <c r="N37" s="36">
        <f t="shared" ref="N37:N47" si="9">(F15*0.3*0.1+(O15+R15+U15)*0.1*0.1)*295911/1032881+((E37+F37)*0.1*295911/1032881)</f>
        <v>101746.16858189669</v>
      </c>
      <c r="O37" s="36">
        <f t="shared" ref="O37:O47" si="10">(F15*0.3*0.1+(O15+R15+U15)*0.1*0.1)*47931/1032881+((E37+F37)*0.1*47931/1032881)</f>
        <v>16480.616152488044</v>
      </c>
      <c r="P37" s="36"/>
      <c r="Q37" s="36">
        <f t="shared" ref="Q37:Q47" si="11">(F15*0.3*0.1+(O15+R15+U15)*0.1*0.1)*401310/1032881+((E37+F37)*0.1*401310/1032881)</f>
        <v>137986.60716769894</v>
      </c>
      <c r="R37" s="36">
        <f t="shared" ref="R37:R47" si="12">(F15*0.3*0.1+(O15+R15+U15)*0.1*0.1)*181851/1032881+((E37+F37)*0.1*181851/1032881)</f>
        <v>62527.727941125871</v>
      </c>
      <c r="S37" s="36"/>
      <c r="T37" s="36"/>
      <c r="U37" s="27"/>
      <c r="V37" s="27"/>
    </row>
    <row r="38" spans="1:23" s="44" customFormat="1" x14ac:dyDescent="0.25">
      <c r="A38" s="5">
        <v>45078</v>
      </c>
      <c r="B38" s="41"/>
      <c r="C38" s="36">
        <f t="shared" si="2"/>
        <v>14941626.071000002</v>
      </c>
      <c r="D38" s="36">
        <f t="shared" si="3"/>
        <v>3529128.0590000004</v>
      </c>
      <c r="E38" s="27">
        <v>21806.03</v>
      </c>
      <c r="F38" s="27">
        <v>0</v>
      </c>
      <c r="H38" s="27">
        <f>F16*0.3*0.8+(O16+R16+U16)*0.1*0.8+((E38+F38)*0.8)</f>
        <v>2840747.2712000003</v>
      </c>
      <c r="I38" s="36">
        <f t="shared" si="5"/>
        <v>177546.70445000002</v>
      </c>
      <c r="J38" s="36">
        <f t="shared" si="6"/>
        <v>177546.70445000002</v>
      </c>
      <c r="K38" s="27"/>
      <c r="L38" s="36">
        <f t="shared" si="7"/>
        <v>21167.105587161543</v>
      </c>
      <c r="M38" s="36">
        <f t="shared" si="8"/>
        <v>15232.615143023448</v>
      </c>
      <c r="N38" s="36">
        <f t="shared" si="9"/>
        <v>101731.02779604612</v>
      </c>
      <c r="O38" s="36">
        <f t="shared" si="10"/>
        <v>16478.163681959395</v>
      </c>
      <c r="P38" s="36"/>
      <c r="Q38" s="36">
        <f t="shared" si="11"/>
        <v>137966.0734640864</v>
      </c>
      <c r="R38" s="36">
        <f t="shared" si="12"/>
        <v>62518.423227723142</v>
      </c>
      <c r="S38" s="36"/>
      <c r="T38" s="36"/>
      <c r="U38" s="27"/>
      <c r="V38" s="27"/>
    </row>
    <row r="39" spans="1:23" s="44" customFormat="1" x14ac:dyDescent="0.25">
      <c r="A39" s="5">
        <v>45108</v>
      </c>
      <c r="B39" s="41"/>
      <c r="C39" s="36">
        <f t="shared" si="2"/>
        <v>12710948.837000003</v>
      </c>
      <c r="D39" s="36">
        <f t="shared" si="3"/>
        <v>3555955.9730000012</v>
      </c>
      <c r="E39" s="27">
        <v>15559.869999999999</v>
      </c>
      <c r="F39" s="27">
        <v>0</v>
      </c>
      <c r="H39" s="27">
        <f t="shared" si="4"/>
        <v>2857212.6744000013</v>
      </c>
      <c r="I39" s="36">
        <f t="shared" si="5"/>
        <v>178575.79215000008</v>
      </c>
      <c r="J39" s="36">
        <f t="shared" si="6"/>
        <v>178575.79215000008</v>
      </c>
      <c r="K39" s="27"/>
      <c r="L39" s="36">
        <f t="shared" si="7"/>
        <v>21289.793350202985</v>
      </c>
      <c r="M39" s="36">
        <f t="shared" si="8"/>
        <v>15320.905696943217</v>
      </c>
      <c r="N39" s="36">
        <f t="shared" si="9"/>
        <v>102320.6763042377</v>
      </c>
      <c r="O39" s="36">
        <f t="shared" si="10"/>
        <v>16573.673624631789</v>
      </c>
      <c r="P39" s="36"/>
      <c r="Q39" s="36">
        <f t="shared" si="11"/>
        <v>138765.74580753545</v>
      </c>
      <c r="R39" s="36">
        <f t="shared" si="12"/>
        <v>62880.789516448967</v>
      </c>
      <c r="S39" s="36"/>
      <c r="T39" s="36"/>
      <c r="U39" s="27"/>
      <c r="V39" s="27"/>
      <c r="W39" s="59"/>
    </row>
    <row r="40" spans="1:23" s="44" customFormat="1" x14ac:dyDescent="0.25">
      <c r="A40" s="5">
        <v>45139</v>
      </c>
      <c r="B40" s="41"/>
      <c r="C40" s="36">
        <f t="shared" si="2"/>
        <v>15790801.029000001</v>
      </c>
      <c r="D40" s="36">
        <f t="shared" si="3"/>
        <v>3792534.7410000009</v>
      </c>
      <c r="E40" s="27">
        <v>19040.86</v>
      </c>
      <c r="F40" s="27">
        <v>0</v>
      </c>
      <c r="H40" s="27">
        <f t="shared" si="4"/>
        <v>3049260.480800001</v>
      </c>
      <c r="I40" s="36">
        <f t="shared" si="5"/>
        <v>190578.78005000006</v>
      </c>
      <c r="J40" s="36">
        <f t="shared" si="6"/>
        <v>190578.78005000006</v>
      </c>
      <c r="K40" s="27"/>
      <c r="L40" s="36">
        <f t="shared" si="7"/>
        <v>22720.788721408375</v>
      </c>
      <c r="M40" s="36">
        <f t="shared" si="8"/>
        <v>16350.701748711424</v>
      </c>
      <c r="N40" s="36">
        <f t="shared" si="9"/>
        <v>109198.16974729048</v>
      </c>
      <c r="O40" s="36">
        <f t="shared" si="10"/>
        <v>17687.674585119781</v>
      </c>
      <c r="P40" s="36"/>
      <c r="Q40" s="36">
        <f t="shared" si="11"/>
        <v>148092.89786890362</v>
      </c>
      <c r="R40" s="36">
        <f t="shared" si="12"/>
        <v>67107.327428566423</v>
      </c>
      <c r="S40" s="36"/>
      <c r="T40" s="36"/>
      <c r="U40" s="27"/>
      <c r="V40" s="27"/>
      <c r="W40" s="31"/>
    </row>
    <row r="41" spans="1:23" s="44" customFormat="1" x14ac:dyDescent="0.25">
      <c r="A41" s="5">
        <v>45170</v>
      </c>
      <c r="B41" s="41"/>
      <c r="C41" s="36">
        <f t="shared" si="2"/>
        <v>16206329.188000001</v>
      </c>
      <c r="D41" s="36">
        <f t="shared" si="3"/>
        <v>3772752.7520000003</v>
      </c>
      <c r="E41" s="27">
        <v>22882.59</v>
      </c>
      <c r="F41" s="27">
        <v>15000</v>
      </c>
      <c r="G41" s="33"/>
      <c r="H41" s="27">
        <f t="shared" si="4"/>
        <v>3048508.2736000004</v>
      </c>
      <c r="I41" s="36">
        <f t="shared" si="5"/>
        <v>190531.76710000003</v>
      </c>
      <c r="J41" s="36">
        <f t="shared" si="6"/>
        <v>190531.76710000003</v>
      </c>
      <c r="K41" s="27"/>
      <c r="L41" s="36">
        <f t="shared" si="7"/>
        <v>22715.183840823873</v>
      </c>
      <c r="M41" s="36">
        <f t="shared" si="8"/>
        <v>16346.668273822059</v>
      </c>
      <c r="N41" s="36">
        <f t="shared" si="9"/>
        <v>109171.23218323913</v>
      </c>
      <c r="O41" s="36">
        <f t="shared" si="10"/>
        <v>17683.311298920402</v>
      </c>
      <c r="P41" s="36"/>
      <c r="Q41" s="36">
        <f t="shared" si="11"/>
        <v>148056.3655540203</v>
      </c>
      <c r="R41" s="36">
        <f t="shared" si="12"/>
        <v>67090.773049174313</v>
      </c>
      <c r="S41" s="36"/>
      <c r="T41" s="36"/>
      <c r="U41" s="27"/>
      <c r="V41" s="27"/>
    </row>
    <row r="42" spans="1:23" s="44" customFormat="1" x14ac:dyDescent="0.25">
      <c r="A42" s="5">
        <v>45200</v>
      </c>
      <c r="B42" s="41"/>
      <c r="C42" s="36">
        <f t="shared" si="2"/>
        <v>13335366.103</v>
      </c>
      <c r="D42" s="36">
        <f t="shared" si="3"/>
        <v>3270894.6869999995</v>
      </c>
      <c r="E42" s="27">
        <v>18715.03</v>
      </c>
      <c r="F42" s="27">
        <v>0</v>
      </c>
      <c r="G42" s="33"/>
      <c r="H42" s="27">
        <f t="shared" si="4"/>
        <v>2631687.7736</v>
      </c>
      <c r="I42" s="36">
        <f t="shared" si="5"/>
        <v>164480.48585</v>
      </c>
      <c r="J42" s="36">
        <f t="shared" si="6"/>
        <v>164480.48585</v>
      </c>
      <c r="K42" s="27"/>
      <c r="L42" s="36">
        <f t="shared" si="7"/>
        <v>19609.351926861855</v>
      </c>
      <c r="M42" s="36">
        <f t="shared" si="8"/>
        <v>14111.599239489931</v>
      </c>
      <c r="N42" s="36">
        <f t="shared" si="9"/>
        <v>94244.322527685857</v>
      </c>
      <c r="O42" s="36">
        <f t="shared" si="10"/>
        <v>15265.483956576507</v>
      </c>
      <c r="P42" s="36"/>
      <c r="Q42" s="36">
        <f t="shared" si="11"/>
        <v>127812.7175859823</v>
      </c>
      <c r="R42" s="36">
        <f t="shared" si="12"/>
        <v>57917.496463403528</v>
      </c>
      <c r="S42" s="36"/>
      <c r="T42" s="36"/>
      <c r="U42" s="27"/>
      <c r="V42" s="27"/>
    </row>
    <row r="43" spans="1:23" s="44" customFormat="1" x14ac:dyDescent="0.25">
      <c r="A43" s="5">
        <v>45231</v>
      </c>
      <c r="B43" s="41"/>
      <c r="C43" s="36">
        <f t="shared" si="2"/>
        <v>12536420.207999999</v>
      </c>
      <c r="D43" s="36">
        <f t="shared" si="3"/>
        <v>3188613.831999999</v>
      </c>
      <c r="E43" s="27">
        <v>28347.090000000004</v>
      </c>
      <c r="F43" s="27">
        <v>0</v>
      </c>
      <c r="G43" s="33"/>
      <c r="H43" s="27">
        <f t="shared" si="4"/>
        <v>2573568.7375999992</v>
      </c>
      <c r="I43" s="36">
        <f t="shared" si="5"/>
        <v>160848.04609999995</v>
      </c>
      <c r="J43" s="36">
        <f t="shared" si="6"/>
        <v>160848.04609999995</v>
      </c>
      <c r="K43" s="27"/>
      <c r="L43" s="36">
        <f t="shared" si="7"/>
        <v>19176.292715960499</v>
      </c>
      <c r="M43" s="36">
        <f t="shared" si="8"/>
        <v>13799.954160447909</v>
      </c>
      <c r="N43" s="36">
        <f t="shared" si="9"/>
        <v>92163.000712564361</v>
      </c>
      <c r="O43" s="36">
        <f t="shared" si="10"/>
        <v>14928.35611773108</v>
      </c>
      <c r="P43" s="36"/>
      <c r="Q43" s="36">
        <f t="shared" si="11"/>
        <v>124990.06057888757</v>
      </c>
      <c r="R43" s="36">
        <f t="shared" si="12"/>
        <v>56638.427914408516</v>
      </c>
      <c r="S43" s="36"/>
      <c r="T43" s="36"/>
      <c r="U43" s="27"/>
      <c r="V43" s="27"/>
    </row>
    <row r="44" spans="1:23" s="44" customFormat="1" x14ac:dyDescent="0.25">
      <c r="A44" s="5">
        <v>45261</v>
      </c>
      <c r="B44" s="41"/>
      <c r="C44" s="36">
        <f t="shared" si="2"/>
        <v>12177362.440999996</v>
      </c>
      <c r="D44" s="36">
        <f t="shared" si="3"/>
        <v>3146656.3889999981</v>
      </c>
      <c r="E44" s="27">
        <v>14692.1</v>
      </c>
      <c r="F44" s="27">
        <v>0</v>
      </c>
      <c r="G44" s="33"/>
      <c r="H44" s="27">
        <f t="shared" si="4"/>
        <v>2529078.7911999989</v>
      </c>
      <c r="I44" s="36">
        <f t="shared" si="5"/>
        <v>158067.42444999993</v>
      </c>
      <c r="J44" s="36">
        <f t="shared" si="6"/>
        <v>158067.42444999993</v>
      </c>
      <c r="K44" s="27"/>
      <c r="L44" s="36">
        <f t="shared" si="7"/>
        <v>18844.787198886406</v>
      </c>
      <c r="M44" s="36">
        <f t="shared" si="8"/>
        <v>13561.390794352101</v>
      </c>
      <c r="N44" s="36">
        <f t="shared" si="9"/>
        <v>90569.755153640988</v>
      </c>
      <c r="O44" s="36">
        <f t="shared" si="10"/>
        <v>14670.285776024431</v>
      </c>
      <c r="P44" s="36"/>
      <c r="Q44" s="36">
        <f t="shared" si="11"/>
        <v>122829.32517110775</v>
      </c>
      <c r="R44" s="36">
        <f t="shared" si="12"/>
        <v>55659.304805988177</v>
      </c>
      <c r="S44" s="36"/>
      <c r="T44" s="36"/>
      <c r="U44" s="33"/>
      <c r="V44" s="33"/>
    </row>
    <row r="45" spans="1:23" s="44" customFormat="1" x14ac:dyDescent="0.25">
      <c r="A45" s="5">
        <v>45292</v>
      </c>
      <c r="B45" s="41"/>
      <c r="C45" s="36">
        <f t="shared" si="2"/>
        <v>12594728.489999998</v>
      </c>
      <c r="D45" s="36">
        <f t="shared" si="3"/>
        <v>2926583.61</v>
      </c>
      <c r="E45" s="27">
        <v>22968.39</v>
      </c>
      <c r="F45" s="27">
        <v>0</v>
      </c>
      <c r="G45" s="33"/>
      <c r="H45" s="27">
        <f t="shared" si="4"/>
        <v>2359641.5999999996</v>
      </c>
      <c r="I45" s="36">
        <f t="shared" si="5"/>
        <v>147477.59999999998</v>
      </c>
      <c r="J45" s="36">
        <f t="shared" si="6"/>
        <v>147477.59999999998</v>
      </c>
      <c r="K45" s="27"/>
      <c r="L45" s="36">
        <f t="shared" si="7"/>
        <v>17582.269074559408</v>
      </c>
      <c r="M45" s="36">
        <f t="shared" si="8"/>
        <v>12652.837066031807</v>
      </c>
      <c r="N45" s="36">
        <f t="shared" si="9"/>
        <v>84501.978627934863</v>
      </c>
      <c r="O45" s="36">
        <f t="shared" si="10"/>
        <v>13687.440945471937</v>
      </c>
      <c r="P45" s="36"/>
      <c r="Q45" s="36">
        <f t="shared" si="11"/>
        <v>114600.2988843826</v>
      </c>
      <c r="R45" s="36">
        <f t="shared" si="12"/>
        <v>51930.375401619349</v>
      </c>
      <c r="S45" s="60"/>
      <c r="T45" s="60"/>
      <c r="U45" s="33"/>
      <c r="V45" s="33"/>
    </row>
    <row r="46" spans="1:23" s="44" customFormat="1" x14ac:dyDescent="0.25">
      <c r="A46" s="5">
        <v>45323</v>
      </c>
      <c r="B46" s="41"/>
      <c r="C46" s="36">
        <f t="shared" si="2"/>
        <v>13288761.566999998</v>
      </c>
      <c r="D46" s="36">
        <f t="shared" si="3"/>
        <v>3114027.7429999993</v>
      </c>
      <c r="E46" s="27">
        <v>16579.84</v>
      </c>
      <c r="F46" s="27">
        <v>0</v>
      </c>
      <c r="G46" s="33"/>
      <c r="H46" s="27">
        <f t="shared" si="4"/>
        <v>2504486.0663999994</v>
      </c>
      <c r="I46" s="36">
        <f t="shared" si="5"/>
        <v>156530.37914999996</v>
      </c>
      <c r="J46" s="36">
        <f t="shared" si="6"/>
        <v>156530.37914999996</v>
      </c>
      <c r="K46" s="27"/>
      <c r="L46" s="36">
        <f t="shared" si="7"/>
        <v>18661.54076658492</v>
      </c>
      <c r="M46" s="36">
        <f t="shared" si="8"/>
        <v>13429.520030629277</v>
      </c>
      <c r="N46" s="36">
        <f t="shared" si="9"/>
        <v>89689.056192641045</v>
      </c>
      <c r="O46" s="36">
        <f t="shared" si="10"/>
        <v>14527.632133883088</v>
      </c>
      <c r="P46" s="27"/>
      <c r="Q46" s="36">
        <f t="shared" si="11"/>
        <v>121634.93462787387</v>
      </c>
      <c r="R46" s="36">
        <f t="shared" si="12"/>
        <v>55118.074548387747</v>
      </c>
      <c r="S46" s="60"/>
      <c r="T46" s="60"/>
      <c r="U46" s="33"/>
      <c r="V46" s="33"/>
    </row>
    <row r="47" spans="1:23" s="44" customFormat="1" x14ac:dyDescent="0.25">
      <c r="A47" s="5">
        <v>45352</v>
      </c>
      <c r="B47" s="41"/>
      <c r="C47" s="36">
        <f t="shared" si="2"/>
        <v>14037892.548999999</v>
      </c>
      <c r="D47" s="36">
        <f t="shared" si="3"/>
        <v>3497265.7209999999</v>
      </c>
      <c r="E47" s="27">
        <v>16344.780000000002</v>
      </c>
      <c r="F47" s="27">
        <v>0</v>
      </c>
      <c r="G47" s="33"/>
      <c r="H47" s="27">
        <f t="shared" si="4"/>
        <v>2810888.4007999999</v>
      </c>
      <c r="I47" s="36">
        <f t="shared" si="5"/>
        <v>175680.52505</v>
      </c>
      <c r="J47" s="36">
        <f t="shared" si="6"/>
        <v>175680.52505</v>
      </c>
      <c r="K47" s="27"/>
      <c r="L47" s="36">
        <f t="shared" si="7"/>
        <v>20944.619810662603</v>
      </c>
      <c r="M47" s="36">
        <f t="shared" si="8"/>
        <v>15072.506327283394</v>
      </c>
      <c r="N47" s="36">
        <f t="shared" si="9"/>
        <v>100661.74099062824</v>
      </c>
      <c r="O47" s="36">
        <f t="shared" si="10"/>
        <v>16304.963003814672</v>
      </c>
      <c r="P47" s="27"/>
      <c r="Q47" s="36">
        <f t="shared" si="11"/>
        <v>136515.92295301298</v>
      </c>
      <c r="R47" s="36">
        <f t="shared" si="12"/>
        <v>61861.297014598102</v>
      </c>
      <c r="S47" s="60"/>
      <c r="T47" s="60"/>
      <c r="U47" s="33"/>
      <c r="V47" s="33"/>
    </row>
    <row r="48" spans="1:23" s="44" customFormat="1" ht="15.75" thickBot="1" x14ac:dyDescent="0.3">
      <c r="A48" s="5" t="s">
        <v>28</v>
      </c>
      <c r="B48" s="41"/>
      <c r="C48" s="61">
        <f>SUM(C36:C47)</f>
        <v>166598938.71800002</v>
      </c>
      <c r="D48" s="61">
        <f t="shared" ref="D48:E48" si="13">SUM(D36:D47)</f>
        <v>40877605.222000003</v>
      </c>
      <c r="E48" s="61">
        <f t="shared" si="13"/>
        <v>225940.57</v>
      </c>
      <c r="F48" s="34">
        <f>SUM(F36:F47)</f>
        <v>21000</v>
      </c>
      <c r="G48" s="39"/>
      <c r="H48" s="61">
        <f>SUM(H36:H47)</f>
        <v>32899636.633600008</v>
      </c>
      <c r="I48" s="61">
        <f t="shared" ref="I48:R48" si="14">SUM(I36:I47)</f>
        <v>2056227.2896000005</v>
      </c>
      <c r="J48" s="61">
        <f t="shared" si="14"/>
        <v>2056227.2896000005</v>
      </c>
      <c r="K48" s="61"/>
      <c r="L48" s="61">
        <f t="shared" si="14"/>
        <v>245143.27249832655</v>
      </c>
      <c r="M48" s="61">
        <f t="shared" si="14"/>
        <v>176413.96975565783</v>
      </c>
      <c r="N48" s="61">
        <f t="shared" si="14"/>
        <v>1178180.784606989</v>
      </c>
      <c r="O48" s="61">
        <f t="shared" si="14"/>
        <v>190839.08062558528</v>
      </c>
      <c r="P48" s="61"/>
      <c r="Q48" s="61">
        <f t="shared" si="14"/>
        <v>1597830.8703313856</v>
      </c>
      <c r="R48" s="61">
        <f t="shared" si="14"/>
        <v>724046.6013820559</v>
      </c>
      <c r="S48" s="39"/>
      <c r="T48" s="39"/>
      <c r="U48" s="39"/>
      <c r="V48" s="39"/>
      <c r="W48" s="59"/>
    </row>
    <row r="49" spans="1:24" s="44" customFormat="1" ht="15.75" thickTop="1" x14ac:dyDescent="0.25">
      <c r="A49" s="41"/>
      <c r="B49" s="41"/>
      <c r="C49" s="39"/>
      <c r="D49" s="42"/>
      <c r="E49" s="42"/>
      <c r="F49" s="42"/>
      <c r="G49" s="42"/>
      <c r="H49" s="42"/>
      <c r="I49" s="42"/>
      <c r="L49" s="42"/>
      <c r="M49" s="42"/>
      <c r="N49" s="42"/>
      <c r="O49" s="42"/>
      <c r="Q49" s="42"/>
    </row>
    <row r="50" spans="1:24" s="44" customFormat="1" x14ac:dyDescent="0.25">
      <c r="A50" s="41"/>
      <c r="B50" s="41"/>
      <c r="C50" s="42">
        <f>C48/W26</f>
        <v>0.8029772212042372</v>
      </c>
      <c r="D50" s="42">
        <f>D48/W26</f>
        <v>0.19702277879576291</v>
      </c>
      <c r="E50" s="42"/>
      <c r="F50" s="42"/>
      <c r="G50" s="42"/>
      <c r="H50" s="42">
        <f>H48/($D$48+$E$48+$F$48)</f>
        <v>0.80000000000000016</v>
      </c>
      <c r="I50" s="42">
        <f t="shared" ref="I50:R50" si="15">I48/($D$48+$E$48+$F$48)</f>
        <v>5.000000000000001E-2</v>
      </c>
      <c r="J50" s="42">
        <f t="shared" si="15"/>
        <v>5.000000000000001E-2</v>
      </c>
      <c r="K50" s="42"/>
      <c r="L50" s="42">
        <f t="shared" si="15"/>
        <v>5.9609964749085323E-3</v>
      </c>
      <c r="M50" s="42">
        <f t="shared" si="15"/>
        <v>4.2897487706715486E-3</v>
      </c>
      <c r="N50" s="42">
        <f t="shared" si="15"/>
        <v>2.8649089294894573E-2</v>
      </c>
      <c r="O50" s="42">
        <f t="shared" si="15"/>
        <v>4.6405152190813837E-3</v>
      </c>
      <c r="P50" s="42"/>
      <c r="Q50" s="42">
        <f t="shared" si="15"/>
        <v>3.885345940142184E-2</v>
      </c>
      <c r="R50" s="42">
        <f t="shared" si="15"/>
        <v>1.7606190839022113E-2</v>
      </c>
      <c r="S50" s="42"/>
      <c r="T50" s="42"/>
      <c r="U50" s="42"/>
      <c r="V50" s="42"/>
    </row>
    <row r="51" spans="1:24" s="44" customFormat="1" x14ac:dyDescent="0.25">
      <c r="A51" s="41"/>
      <c r="B51" s="41"/>
      <c r="C51" s="42"/>
      <c r="D51" s="42"/>
      <c r="F51" s="39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X51" s="59"/>
    </row>
    <row r="52" spans="1:24" s="44" customFormat="1" x14ac:dyDescent="0.25">
      <c r="A52" s="62" t="s">
        <v>55</v>
      </c>
      <c r="B52" s="41"/>
      <c r="C52" s="42"/>
      <c r="D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X52" s="59"/>
    </row>
    <row r="53" spans="1:24" s="46" customFormat="1" x14ac:dyDescent="0.25">
      <c r="A53" s="63" t="s">
        <v>81</v>
      </c>
      <c r="B53" s="64"/>
      <c r="C53" s="65"/>
      <c r="D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X53" s="59"/>
    </row>
    <row r="54" spans="1:24" s="46" customFormat="1" x14ac:dyDescent="0.25">
      <c r="A54" s="63" t="s">
        <v>57</v>
      </c>
      <c r="B54" s="64"/>
      <c r="C54" s="65"/>
      <c r="D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</row>
    <row r="55" spans="1:24" s="46" customFormat="1" x14ac:dyDescent="0.25">
      <c r="A55" s="63"/>
      <c r="B55" s="64"/>
      <c r="C55" s="65"/>
      <c r="D55" s="65"/>
      <c r="H55" s="66"/>
      <c r="I55" s="66"/>
      <c r="J55" s="66"/>
      <c r="K55" s="65"/>
      <c r="L55" s="67"/>
      <c r="M55" s="67"/>
      <c r="N55" s="67"/>
      <c r="O55" s="67"/>
      <c r="P55" s="65"/>
      <c r="Q55" s="67"/>
      <c r="R55" s="67"/>
      <c r="S55" s="67"/>
      <c r="T55" s="67"/>
      <c r="U55" s="68"/>
      <c r="V55" s="68"/>
      <c r="W55" s="68"/>
    </row>
    <row r="56" spans="1:24" s="46" customFormat="1" ht="15" customHeight="1" x14ac:dyDescent="0.25">
      <c r="A56" s="63" t="s">
        <v>58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1:24" s="46" customFormat="1" x14ac:dyDescent="0.25">
      <c r="B57" s="64"/>
      <c r="C57" s="65"/>
      <c r="D57" s="7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</row>
    <row r="58" spans="1:24" ht="15" customHeight="1" x14ac:dyDescent="0.25">
      <c r="A58" s="71" t="s">
        <v>59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24" x14ac:dyDescent="0.25">
      <c r="A59" s="71" t="s">
        <v>60</v>
      </c>
    </row>
    <row r="61" spans="1:24" x14ac:dyDescent="0.25">
      <c r="A61" s="71" t="s">
        <v>61</v>
      </c>
    </row>
    <row r="62" spans="1:24" x14ac:dyDescent="0.25">
      <c r="A62" s="71"/>
      <c r="B62" s="72"/>
      <c r="C62" s="73"/>
      <c r="D62" s="73"/>
      <c r="E62" s="73"/>
      <c r="F62" s="73"/>
      <c r="G62" s="73"/>
      <c r="H62" s="73"/>
      <c r="I62" s="74"/>
      <c r="J62" s="73"/>
      <c r="K62" s="73"/>
      <c r="L62" s="73"/>
      <c r="M62" s="73"/>
      <c r="N62" s="73"/>
      <c r="O62" s="73"/>
    </row>
    <row r="63" spans="1:24" x14ac:dyDescent="0.25">
      <c r="A63" s="71" t="s">
        <v>71</v>
      </c>
    </row>
    <row r="65" spans="1:1" x14ac:dyDescent="0.25">
      <c r="A65" s="83" t="s">
        <v>72</v>
      </c>
    </row>
  </sheetData>
  <mergeCells count="13">
    <mergeCell ref="L34:R34"/>
    <mergeCell ref="C10:I10"/>
    <mergeCell ref="L10:O10"/>
    <mergeCell ref="Q10:R10"/>
    <mergeCell ref="T10:U10"/>
    <mergeCell ref="A30:W30"/>
    <mergeCell ref="H32:R32"/>
    <mergeCell ref="A8:W8"/>
    <mergeCell ref="A1:W1"/>
    <mergeCell ref="A2:W2"/>
    <mergeCell ref="A3:W3"/>
    <mergeCell ref="A4:W4"/>
    <mergeCell ref="A5:W5"/>
  </mergeCells>
  <hyperlinks>
    <hyperlink ref="A4" r:id="rId1" xr:uid="{49E26DDD-61DF-427A-BFD2-E9252A8B5135}"/>
  </hyperlinks>
  <printOptions horizontalCentered="1" verticalCentered="1"/>
  <pageMargins left="0" right="0" top="0.25" bottom="0.25" header="0.3" footer="0.3"/>
  <pageSetup scale="5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0B3E-272F-4FC3-B6D6-1A2597E119B4}">
  <sheetPr>
    <pageSetUpPr fitToPage="1"/>
  </sheetPr>
  <dimension ref="A1:X65"/>
  <sheetViews>
    <sheetView zoomScale="90" zoomScaleNormal="90" workbookViewId="0">
      <selection activeCell="I27" sqref="I27"/>
    </sheetView>
  </sheetViews>
  <sheetFormatPr defaultRowHeight="15" x14ac:dyDescent="0.25"/>
  <cols>
    <col min="1" max="1" width="9.28515625" style="5" customWidth="1"/>
    <col min="2" max="2" width="1.7109375" style="5" customWidth="1"/>
    <col min="3" max="3" width="15.5703125" style="29" bestFit="1" customWidth="1"/>
    <col min="4" max="4" width="13.5703125" style="29" customWidth="1"/>
    <col min="5" max="5" width="15.85546875" style="29" customWidth="1"/>
    <col min="6" max="6" width="18.140625" style="29" customWidth="1"/>
    <col min="7" max="7" width="1.85546875" style="29" customWidth="1"/>
    <col min="8" max="8" width="15" style="29" customWidth="1"/>
    <col min="9" max="9" width="11.7109375" style="31" customWidth="1"/>
    <col min="10" max="10" width="11.7109375" style="29" customWidth="1"/>
    <col min="11" max="11" width="1.140625" style="29" customWidth="1"/>
    <col min="12" max="12" width="14" style="29" customWidth="1"/>
    <col min="13" max="13" width="13.85546875" style="29" customWidth="1"/>
    <col min="14" max="14" width="12.7109375" style="29" bestFit="1" customWidth="1"/>
    <col min="15" max="15" width="13.85546875" style="29" bestFit="1" customWidth="1"/>
    <col min="16" max="16" width="2" style="29" customWidth="1"/>
    <col min="17" max="17" width="15" style="29" customWidth="1"/>
    <col min="18" max="18" width="12.140625" style="29" customWidth="1"/>
    <col min="19" max="19" width="2" style="29" customWidth="1"/>
    <col min="20" max="20" width="13.28515625" style="29" customWidth="1"/>
    <col min="21" max="21" width="12.140625" style="1" customWidth="1"/>
    <col min="22" max="22" width="2" style="1" customWidth="1"/>
    <col min="23" max="23" width="16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4" ht="18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4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4" s="2" customFormat="1" ht="15.75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4" s="3" customFormat="1" ht="14.25" customHeight="1" x14ac:dyDescent="0.25">
      <c r="A4" s="98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4" s="3" customForma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/>
    </row>
    <row r="6" spans="1:24" s="2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4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4" s="9" customFormat="1" ht="14.25" customHeight="1" x14ac:dyDescent="0.25">
      <c r="A8" s="93" t="s">
        <v>78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5"/>
    </row>
    <row r="9" spans="1:24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4" s="14" customFormat="1" ht="28.9" customHeight="1" x14ac:dyDescent="0.2">
      <c r="A10" s="10"/>
      <c r="B10" s="10"/>
      <c r="C10" s="102" t="s">
        <v>6</v>
      </c>
      <c r="D10" s="103"/>
      <c r="E10" s="103"/>
      <c r="F10" s="103"/>
      <c r="G10" s="103"/>
      <c r="H10" s="103"/>
      <c r="I10" s="103"/>
      <c r="J10" s="11"/>
      <c r="K10" s="12"/>
      <c r="L10" s="102" t="s">
        <v>7</v>
      </c>
      <c r="M10" s="103"/>
      <c r="N10" s="103"/>
      <c r="O10" s="104"/>
      <c r="P10" s="13"/>
      <c r="Q10" s="102" t="s">
        <v>8</v>
      </c>
      <c r="R10" s="104"/>
      <c r="S10" s="77"/>
      <c r="T10" s="105" t="s">
        <v>67</v>
      </c>
      <c r="U10" s="106"/>
      <c r="V10" s="79"/>
    </row>
    <row r="11" spans="1:24" s="19" customFormat="1" ht="12" x14ac:dyDescent="0.2">
      <c r="A11" s="15"/>
      <c r="B11" s="15"/>
      <c r="C11" s="16"/>
      <c r="D11" s="17" t="s">
        <v>9</v>
      </c>
      <c r="E11" s="16"/>
      <c r="F11" s="16"/>
      <c r="G11" s="16"/>
      <c r="H11" s="18" t="s">
        <v>10</v>
      </c>
      <c r="I11" s="16"/>
      <c r="J11" s="16"/>
      <c r="K11" s="16"/>
      <c r="L11" s="17" t="s">
        <v>11</v>
      </c>
      <c r="M11" s="17"/>
      <c r="N11" s="17" t="s">
        <v>9</v>
      </c>
      <c r="O11" s="17" t="s">
        <v>11</v>
      </c>
      <c r="Q11" s="17" t="s">
        <v>11</v>
      </c>
      <c r="R11" s="17" t="s">
        <v>11</v>
      </c>
      <c r="S11" s="17"/>
      <c r="T11" s="22" t="s">
        <v>68</v>
      </c>
      <c r="U11" s="22" t="s">
        <v>68</v>
      </c>
      <c r="V11" s="22"/>
      <c r="W11" s="17" t="s">
        <v>11</v>
      </c>
    </row>
    <row r="12" spans="1:24" s="22" customFormat="1" ht="12" x14ac:dyDescent="0.2">
      <c r="A12" s="20"/>
      <c r="B12" s="20"/>
      <c r="C12" s="17" t="s">
        <v>12</v>
      </c>
      <c r="D12" s="21" t="s">
        <v>13</v>
      </c>
      <c r="E12" s="17" t="s">
        <v>12</v>
      </c>
      <c r="F12" s="17" t="s">
        <v>14</v>
      </c>
      <c r="G12" s="17"/>
      <c r="H12" s="18" t="s">
        <v>15</v>
      </c>
      <c r="I12" s="17" t="s">
        <v>16</v>
      </c>
      <c r="J12" s="17"/>
      <c r="K12" s="17"/>
      <c r="L12" s="22" t="s">
        <v>10</v>
      </c>
      <c r="M12" s="17" t="s">
        <v>17</v>
      </c>
      <c r="N12" s="17" t="s">
        <v>17</v>
      </c>
      <c r="O12" s="17" t="s">
        <v>17</v>
      </c>
      <c r="Q12" s="22" t="s">
        <v>10</v>
      </c>
      <c r="R12" s="17" t="s">
        <v>18</v>
      </c>
      <c r="S12" s="17"/>
      <c r="T12" s="22" t="s">
        <v>69</v>
      </c>
      <c r="U12" s="22" t="s">
        <v>69</v>
      </c>
      <c r="W12" s="17" t="s">
        <v>11</v>
      </c>
    </row>
    <row r="13" spans="1:24" s="22" customFormat="1" ht="12" x14ac:dyDescent="0.2">
      <c r="A13" s="23" t="s">
        <v>19</v>
      </c>
      <c r="B13" s="23"/>
      <c r="C13" s="24" t="s">
        <v>20</v>
      </c>
      <c r="D13" s="24" t="s">
        <v>12</v>
      </c>
      <c r="E13" s="24" t="s">
        <v>21</v>
      </c>
      <c r="F13" s="24" t="s">
        <v>22</v>
      </c>
      <c r="G13" s="24"/>
      <c r="H13" s="25" t="s">
        <v>23</v>
      </c>
      <c r="I13" s="24" t="s">
        <v>24</v>
      </c>
      <c r="J13" s="21"/>
      <c r="K13" s="21"/>
      <c r="L13" s="24" t="s">
        <v>25</v>
      </c>
      <c r="M13" s="24" t="s">
        <v>26</v>
      </c>
      <c r="N13" s="24" t="s">
        <v>12</v>
      </c>
      <c r="O13" s="24" t="s">
        <v>22</v>
      </c>
      <c r="P13" s="26"/>
      <c r="Q13" s="24" t="s">
        <v>8</v>
      </c>
      <c r="R13" s="24" t="s">
        <v>22</v>
      </c>
      <c r="S13" s="21"/>
      <c r="T13" s="78" t="s">
        <v>76</v>
      </c>
      <c r="U13" s="78" t="s">
        <v>22</v>
      </c>
      <c r="V13" s="26"/>
      <c r="W13" s="24" t="s">
        <v>27</v>
      </c>
    </row>
    <row r="14" spans="1:24" x14ac:dyDescent="0.25">
      <c r="A14" s="5">
        <v>44652</v>
      </c>
      <c r="C14" s="27">
        <v>146067823.34000003</v>
      </c>
      <c r="D14" s="27">
        <v>2249906.98</v>
      </c>
      <c r="E14" s="27">
        <v>133060198.52</v>
      </c>
      <c r="F14" s="27">
        <v>10757717.840000002</v>
      </c>
      <c r="G14" s="27"/>
      <c r="H14" s="28">
        <v>1608</v>
      </c>
      <c r="I14" s="27">
        <v>223.00410116086238</v>
      </c>
      <c r="J14" s="27"/>
      <c r="L14" s="30">
        <v>149</v>
      </c>
      <c r="M14" s="27">
        <v>45628783</v>
      </c>
      <c r="N14" s="27">
        <v>201600</v>
      </c>
      <c r="O14" s="27">
        <v>9025927</v>
      </c>
      <c r="Q14" s="31">
        <v>19</v>
      </c>
      <c r="R14" s="29">
        <v>413129</v>
      </c>
      <c r="T14" s="29">
        <v>905888.3</v>
      </c>
      <c r="U14" s="27">
        <v>-2225.6499999999869</v>
      </c>
      <c r="W14" s="27">
        <f>R14+O14+F14+U14</f>
        <v>20194548.190000005</v>
      </c>
    </row>
    <row r="15" spans="1:24" x14ac:dyDescent="0.25">
      <c r="A15" s="5">
        <v>44682</v>
      </c>
      <c r="C15" s="27">
        <v>146126229.25</v>
      </c>
      <c r="D15" s="27">
        <v>2220052.96</v>
      </c>
      <c r="E15" s="27">
        <v>133035153.91</v>
      </c>
      <c r="F15" s="27">
        <v>10871022.380000001</v>
      </c>
      <c r="G15" s="27"/>
      <c r="H15" s="28">
        <v>1608</v>
      </c>
      <c r="I15" s="27">
        <v>218</v>
      </c>
      <c r="J15" s="27"/>
      <c r="K15" s="32"/>
      <c r="L15" s="30">
        <v>149</v>
      </c>
      <c r="M15" s="27">
        <v>40358810.5</v>
      </c>
      <c r="N15" s="27">
        <v>108475</v>
      </c>
      <c r="O15" s="27">
        <v>7736086.25</v>
      </c>
      <c r="P15" s="32"/>
      <c r="Q15" s="31">
        <v>19</v>
      </c>
      <c r="R15" s="29">
        <v>378801</v>
      </c>
      <c r="T15" s="29">
        <v>964835.7</v>
      </c>
      <c r="U15" s="29">
        <v>81025.149999999994</v>
      </c>
      <c r="V15" s="32"/>
      <c r="W15" s="27">
        <f t="shared" ref="W15:W25" si="0">R15+O15+F15+U15</f>
        <v>19066934.780000001</v>
      </c>
    </row>
    <row r="16" spans="1:24" x14ac:dyDescent="0.25">
      <c r="A16" s="5">
        <v>44713</v>
      </c>
      <c r="C16" s="27">
        <v>139553177.81999999</v>
      </c>
      <c r="D16" s="27">
        <v>2241629.92</v>
      </c>
      <c r="E16" s="27">
        <v>126975440.88</v>
      </c>
      <c r="F16" s="27">
        <v>10336107.02</v>
      </c>
      <c r="G16" s="27"/>
      <c r="H16" s="28">
        <v>1608</v>
      </c>
      <c r="I16" s="27">
        <v>214</v>
      </c>
      <c r="J16" s="27"/>
      <c r="K16" s="32"/>
      <c r="L16" s="32">
        <v>149</v>
      </c>
      <c r="M16" s="27">
        <v>40579018.75</v>
      </c>
      <c r="N16" s="27">
        <v>119640</v>
      </c>
      <c r="O16" s="27">
        <v>7669522.5</v>
      </c>
      <c r="P16" s="32"/>
      <c r="Q16" s="31">
        <v>19</v>
      </c>
      <c r="R16" s="29">
        <v>385640</v>
      </c>
      <c r="T16" s="29">
        <v>678680.15</v>
      </c>
      <c r="U16" s="29">
        <v>46314.1</v>
      </c>
      <c r="V16" s="32"/>
      <c r="W16" s="27">
        <f t="shared" si="0"/>
        <v>18437583.620000001</v>
      </c>
    </row>
    <row r="17" spans="1:23" x14ac:dyDescent="0.25">
      <c r="A17" s="5">
        <v>44743</v>
      </c>
      <c r="C17" s="27">
        <v>160423525.60000002</v>
      </c>
      <c r="D17" s="27">
        <v>2516392.59</v>
      </c>
      <c r="E17" s="27">
        <v>146089973.19999999</v>
      </c>
      <c r="F17" s="27">
        <v>11817159.810000001</v>
      </c>
      <c r="G17" s="33"/>
      <c r="H17" s="28">
        <v>1608</v>
      </c>
      <c r="I17" s="27">
        <v>237.06387036591238</v>
      </c>
      <c r="J17" s="27"/>
      <c r="K17" s="33"/>
      <c r="L17" s="32">
        <v>149</v>
      </c>
      <c r="M17" s="27">
        <v>46620611.5</v>
      </c>
      <c r="N17" s="27">
        <v>151600</v>
      </c>
      <c r="O17" s="27">
        <v>9471303</v>
      </c>
      <c r="P17" s="33"/>
      <c r="Q17" s="31">
        <v>19</v>
      </c>
      <c r="R17" s="29">
        <v>504568</v>
      </c>
      <c r="T17" s="29">
        <v>544238.05000000005</v>
      </c>
      <c r="U17" s="29">
        <v>20350.100000000006</v>
      </c>
      <c r="V17" s="33"/>
      <c r="W17" s="27">
        <f t="shared" si="0"/>
        <v>21813380.910000004</v>
      </c>
    </row>
    <row r="18" spans="1:23" x14ac:dyDescent="0.25">
      <c r="A18" s="5">
        <v>44774</v>
      </c>
      <c r="C18" s="27">
        <v>149278873.03000003</v>
      </c>
      <c r="D18" s="27">
        <v>2341344.4900000002</v>
      </c>
      <c r="E18" s="27">
        <v>135836748.28</v>
      </c>
      <c r="F18" s="27">
        <v>11100780.259999996</v>
      </c>
      <c r="G18" s="33"/>
      <c r="H18" s="28">
        <v>1608</v>
      </c>
      <c r="I18" s="27">
        <v>222.69259067565395</v>
      </c>
      <c r="J18" s="27"/>
      <c r="K18" s="33"/>
      <c r="L18" s="32">
        <v>149</v>
      </c>
      <c r="M18" s="27">
        <v>49381052</v>
      </c>
      <c r="N18" s="27">
        <v>168350</v>
      </c>
      <c r="O18" s="27">
        <v>7990875.5</v>
      </c>
      <c r="P18" s="33"/>
      <c r="Q18" s="31">
        <v>19</v>
      </c>
      <c r="R18" s="29">
        <v>498668</v>
      </c>
      <c r="T18" s="29">
        <v>687541.89999999991</v>
      </c>
      <c r="U18" s="29">
        <v>62495.549999999974</v>
      </c>
      <c r="V18" s="33"/>
      <c r="W18" s="27">
        <f t="shared" si="0"/>
        <v>19652819.309999999</v>
      </c>
    </row>
    <row r="19" spans="1:23" x14ac:dyDescent="0.25">
      <c r="A19" s="5">
        <v>44805</v>
      </c>
      <c r="C19" s="27">
        <v>145098563.20999995</v>
      </c>
      <c r="D19" s="27">
        <v>2798180.09</v>
      </c>
      <c r="E19" s="27">
        <v>131652986.34999999</v>
      </c>
      <c r="F19" s="27">
        <v>10647396.769999996</v>
      </c>
      <c r="G19" s="33"/>
      <c r="H19" s="28">
        <v>1608</v>
      </c>
      <c r="I19" s="27">
        <v>221</v>
      </c>
      <c r="J19" s="27"/>
      <c r="K19" s="33"/>
      <c r="L19" s="32">
        <v>149</v>
      </c>
      <c r="M19" s="27">
        <v>46831594</v>
      </c>
      <c r="N19" s="27">
        <v>113550</v>
      </c>
      <c r="O19" s="27">
        <v>10122887.75</v>
      </c>
      <c r="P19" s="33"/>
      <c r="Q19" s="31">
        <v>19</v>
      </c>
      <c r="R19" s="29">
        <v>406314</v>
      </c>
      <c r="T19" s="29">
        <v>1160272.75</v>
      </c>
      <c r="U19" s="29">
        <v>276641.90000000002</v>
      </c>
      <c r="V19" s="33"/>
      <c r="W19" s="27">
        <f t="shared" si="0"/>
        <v>21453240.419999994</v>
      </c>
    </row>
    <row r="20" spans="1:23" x14ac:dyDescent="0.25">
      <c r="A20" s="5">
        <v>44835</v>
      </c>
      <c r="C20" s="27">
        <v>143700839.10999998</v>
      </c>
      <c r="D20" s="27">
        <v>2522197.4300000002</v>
      </c>
      <c r="E20" s="27">
        <v>130976949.91</v>
      </c>
      <c r="F20" s="27">
        <v>10201691.769999998</v>
      </c>
      <c r="G20" s="33"/>
      <c r="H20" s="28">
        <v>1608</v>
      </c>
      <c r="I20" s="27">
        <v>204.65598960840953</v>
      </c>
      <c r="J20" s="27"/>
      <c r="K20" s="33"/>
      <c r="L20" s="32">
        <v>149</v>
      </c>
      <c r="M20" s="27">
        <v>44292988</v>
      </c>
      <c r="N20" s="27">
        <v>130800</v>
      </c>
      <c r="O20" s="27">
        <v>9817740</v>
      </c>
      <c r="P20" s="33"/>
      <c r="Q20" s="31">
        <v>19</v>
      </c>
      <c r="R20" s="29">
        <v>429416</v>
      </c>
      <c r="T20" s="29">
        <v>1981057.55</v>
      </c>
      <c r="U20" s="29">
        <v>234430.57999999996</v>
      </c>
      <c r="V20" s="33"/>
      <c r="W20" s="27">
        <f t="shared" si="0"/>
        <v>20683278.349999994</v>
      </c>
    </row>
    <row r="21" spans="1:23" x14ac:dyDescent="0.25">
      <c r="A21" s="5">
        <v>44866</v>
      </c>
      <c r="C21" s="27">
        <v>129890959.34</v>
      </c>
      <c r="D21" s="27">
        <v>2600941.12</v>
      </c>
      <c r="E21" s="27">
        <v>118061666.18000001</v>
      </c>
      <c r="F21" s="27">
        <v>9228352.0399999991</v>
      </c>
      <c r="G21" s="33"/>
      <c r="H21" s="28">
        <v>1608</v>
      </c>
      <c r="I21" s="27">
        <v>191</v>
      </c>
      <c r="J21" s="27"/>
      <c r="K21" s="33"/>
      <c r="L21" s="32">
        <v>149</v>
      </c>
      <c r="M21" s="27">
        <v>42025528</v>
      </c>
      <c r="N21" s="27">
        <v>138295</v>
      </c>
      <c r="O21" s="27">
        <v>10418305.75</v>
      </c>
      <c r="P21" s="33"/>
      <c r="Q21" s="31">
        <v>19</v>
      </c>
      <c r="R21" s="29">
        <v>371115</v>
      </c>
      <c r="T21" s="29">
        <v>1239132.8999999999</v>
      </c>
      <c r="U21" s="29">
        <v>96207.75</v>
      </c>
      <c r="V21" s="33"/>
      <c r="W21" s="27">
        <f t="shared" si="0"/>
        <v>20113980.539999999</v>
      </c>
    </row>
    <row r="22" spans="1:23" x14ac:dyDescent="0.25">
      <c r="A22" s="5">
        <v>44896</v>
      </c>
      <c r="C22" s="27">
        <v>121416507.53</v>
      </c>
      <c r="D22" s="27">
        <v>2610998.19</v>
      </c>
      <c r="E22" s="27">
        <v>110061035.97</v>
      </c>
      <c r="F22" s="27">
        <v>8744473.3699999992</v>
      </c>
      <c r="G22" s="33"/>
      <c r="H22" s="28">
        <v>1608</v>
      </c>
      <c r="I22" s="27">
        <v>175</v>
      </c>
      <c r="J22" s="27"/>
      <c r="K22" s="33"/>
      <c r="L22" s="32">
        <v>149</v>
      </c>
      <c r="M22" s="27">
        <v>42603051.5</v>
      </c>
      <c r="N22" s="27">
        <v>137800</v>
      </c>
      <c r="O22" s="27">
        <v>8045492.5</v>
      </c>
      <c r="P22" s="32"/>
      <c r="Q22" s="31">
        <v>19</v>
      </c>
      <c r="R22" s="29">
        <v>385841</v>
      </c>
      <c r="T22" s="29">
        <v>1169351.9000000001</v>
      </c>
      <c r="U22" s="29">
        <v>227603.25</v>
      </c>
      <c r="V22" s="32"/>
      <c r="W22" s="27">
        <f t="shared" si="0"/>
        <v>17403410.119999997</v>
      </c>
    </row>
    <row r="23" spans="1:23" x14ac:dyDescent="0.25">
      <c r="A23" s="5">
        <v>44927</v>
      </c>
      <c r="C23" s="27">
        <v>123475619.13</v>
      </c>
      <c r="D23" s="27">
        <v>2384596.4369999999</v>
      </c>
      <c r="E23" s="27">
        <v>112860289.93000001</v>
      </c>
      <c r="F23" s="27">
        <v>8230732.7630000012</v>
      </c>
      <c r="G23" s="33">
        <v>1608</v>
      </c>
      <c r="H23" s="28">
        <v>1608</v>
      </c>
      <c r="I23" s="27">
        <v>165</v>
      </c>
      <c r="J23" s="27"/>
      <c r="K23" s="33"/>
      <c r="L23" s="32">
        <v>149</v>
      </c>
      <c r="M23" s="27">
        <v>38143442.25</v>
      </c>
      <c r="N23" s="27">
        <v>97950</v>
      </c>
      <c r="O23" s="27">
        <v>7558484</v>
      </c>
      <c r="P23" s="33"/>
      <c r="Q23" s="31">
        <v>19</v>
      </c>
      <c r="R23" s="29">
        <v>410695</v>
      </c>
      <c r="T23" s="29">
        <v>1706697.0000000002</v>
      </c>
      <c r="U23" s="27">
        <v>-33597.950000000026</v>
      </c>
      <c r="V23" s="33"/>
      <c r="W23" s="27">
        <f t="shared" si="0"/>
        <v>16166313.813000001</v>
      </c>
    </row>
    <row r="24" spans="1:23" x14ac:dyDescent="0.25">
      <c r="A24" s="5">
        <v>44958</v>
      </c>
      <c r="C24" s="27">
        <v>117320502.91000001</v>
      </c>
      <c r="D24" s="27">
        <v>2394133.0499999998</v>
      </c>
      <c r="E24" s="27">
        <v>106528796.14</v>
      </c>
      <c r="F24" s="27">
        <v>8397573.7199999988</v>
      </c>
      <c r="G24" s="33"/>
      <c r="H24" s="28">
        <v>1608</v>
      </c>
      <c r="I24" s="27">
        <v>186.51327558635393</v>
      </c>
      <c r="J24" s="27"/>
      <c r="K24" s="33"/>
      <c r="L24" s="32">
        <v>149</v>
      </c>
      <c r="M24" s="27">
        <v>37242165.25</v>
      </c>
      <c r="N24" s="27">
        <v>74170</v>
      </c>
      <c r="O24" s="27">
        <v>5981382.75</v>
      </c>
      <c r="P24" s="33"/>
      <c r="Q24" s="31">
        <v>19</v>
      </c>
      <c r="R24" s="29">
        <v>388780</v>
      </c>
      <c r="T24" s="29">
        <v>1176756.2</v>
      </c>
      <c r="U24" s="27">
        <v>-42619.049999999988</v>
      </c>
      <c r="V24" s="33"/>
      <c r="W24" s="27">
        <f t="shared" si="0"/>
        <v>14725117.419999998</v>
      </c>
    </row>
    <row r="25" spans="1:23" x14ac:dyDescent="0.25">
      <c r="A25" s="5">
        <v>44986</v>
      </c>
      <c r="C25" s="27">
        <v>117666048.26999998</v>
      </c>
      <c r="D25" s="27">
        <v>2719102.4</v>
      </c>
      <c r="E25" s="27">
        <v>106979860.5</v>
      </c>
      <c r="F25" s="27">
        <v>7967085.3700000001</v>
      </c>
      <c r="G25" s="33"/>
      <c r="H25" s="28">
        <v>1608</v>
      </c>
      <c r="I25" s="27">
        <v>159.82758325308939</v>
      </c>
      <c r="J25" s="27"/>
      <c r="K25" s="33"/>
      <c r="L25" s="32">
        <v>149</v>
      </c>
      <c r="M25" s="27">
        <v>40503103</v>
      </c>
      <c r="N25" s="27">
        <v>191095</v>
      </c>
      <c r="O25" s="27">
        <v>8634637.5</v>
      </c>
      <c r="P25" s="33"/>
      <c r="Q25" s="31">
        <v>19</v>
      </c>
      <c r="R25" s="29">
        <v>391685</v>
      </c>
      <c r="T25" s="29">
        <v>1356308.5</v>
      </c>
      <c r="U25" s="27">
        <v>219076.94999999995</v>
      </c>
      <c r="V25" s="33"/>
      <c r="W25" s="27">
        <f t="shared" si="0"/>
        <v>17212484.82</v>
      </c>
    </row>
    <row r="26" spans="1:23" ht="15.75" thickBot="1" x14ac:dyDescent="0.3">
      <c r="A26" s="5" t="s">
        <v>28</v>
      </c>
      <c r="C26" s="34">
        <f>SUM(C14:C25)</f>
        <v>1640018668.5399997</v>
      </c>
      <c r="D26" s="34">
        <f t="shared" ref="D26:E26" si="1">SUM(D14:D25)</f>
        <v>29599475.657000002</v>
      </c>
      <c r="E26" s="34">
        <f t="shared" si="1"/>
        <v>1492119099.7700002</v>
      </c>
      <c r="F26" s="34">
        <f>SUM(F14:F25)</f>
        <v>118300093.11299999</v>
      </c>
      <c r="G26" s="34"/>
      <c r="H26" s="35">
        <v>1608</v>
      </c>
      <c r="I26" s="34">
        <f>F26/H26/365</f>
        <v>201.56084834900835</v>
      </c>
      <c r="J26" s="36"/>
      <c r="K26" s="27"/>
      <c r="L26" s="37">
        <v>149</v>
      </c>
      <c r="M26" s="34">
        <f>SUM(M14:M25)</f>
        <v>514210147.75</v>
      </c>
      <c r="N26" s="34">
        <f>SUM(N14:N25)</f>
        <v>1633325</v>
      </c>
      <c r="O26" s="34">
        <f>SUM(O14:O25)</f>
        <v>102472644.5</v>
      </c>
      <c r="P26" s="36"/>
      <c r="Q26" s="87">
        <v>19</v>
      </c>
      <c r="R26" s="34">
        <f>SUM(R14:R25)</f>
        <v>4964652</v>
      </c>
      <c r="S26" s="36"/>
      <c r="T26" s="34">
        <f>SUM(T14:T25)</f>
        <v>13570760.899999999</v>
      </c>
      <c r="U26" s="34">
        <f>SUM(U14:U25)</f>
        <v>1185702.68</v>
      </c>
      <c r="V26" s="36"/>
      <c r="W26" s="34">
        <f>SUM(W14:W25)</f>
        <v>226923092.29299995</v>
      </c>
    </row>
    <row r="27" spans="1:23" ht="10.5" customHeight="1" thickTop="1" x14ac:dyDescent="0.25">
      <c r="C27" s="39"/>
      <c r="D27" s="39"/>
      <c r="E27" s="39"/>
      <c r="F27" s="39"/>
      <c r="G27" s="39"/>
      <c r="H27" s="39"/>
      <c r="L27" s="40"/>
      <c r="M27" s="39"/>
      <c r="N27" s="39"/>
      <c r="O27" s="39"/>
      <c r="P27" s="39"/>
      <c r="Q27" s="40"/>
      <c r="R27" s="39"/>
      <c r="S27" s="39"/>
      <c r="T27" s="39"/>
    </row>
    <row r="28" spans="1:23" s="44" customFormat="1" x14ac:dyDescent="0.25">
      <c r="A28" s="41"/>
      <c r="B28" s="41"/>
      <c r="C28" s="42"/>
      <c r="D28" s="43">
        <f>D26/$C$26</f>
        <v>1.8048255318551015E-2</v>
      </c>
      <c r="E28" s="43">
        <f>E26/$C$26</f>
        <v>0.90981836267652694</v>
      </c>
      <c r="F28" s="43">
        <f>F26/$C$26</f>
        <v>7.2133382004922392E-2</v>
      </c>
      <c r="G28" s="43"/>
      <c r="H28" s="42"/>
      <c r="L28" s="42"/>
      <c r="M28" s="42"/>
      <c r="N28" s="42"/>
      <c r="O28" s="42">
        <f>O26/$M$26</f>
        <v>0.19928164574033341</v>
      </c>
      <c r="P28" s="42"/>
      <c r="Q28" s="42"/>
      <c r="R28" s="42"/>
      <c r="S28" s="42"/>
      <c r="T28" s="42"/>
    </row>
    <row r="29" spans="1:23" s="44" customFormat="1" x14ac:dyDescent="0.25">
      <c r="A29" s="41"/>
      <c r="B29" s="41"/>
      <c r="C29" s="42"/>
      <c r="D29" s="42"/>
      <c r="E29" s="42"/>
      <c r="F29" s="42"/>
      <c r="G29" s="42"/>
      <c r="H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3" s="44" customFormat="1" x14ac:dyDescent="0.25">
      <c r="A30" s="93" t="s">
        <v>29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</row>
    <row r="31" spans="1:23" s="46" customForma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3" s="46" customFormat="1" x14ac:dyDescent="0.25">
      <c r="A32" s="45"/>
      <c r="B32" s="45"/>
      <c r="C32" s="45"/>
      <c r="D32" s="45"/>
      <c r="E32" s="45"/>
      <c r="F32" s="45"/>
      <c r="G32" s="45"/>
      <c r="H32" s="107" t="s">
        <v>30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45"/>
      <c r="T32" s="45"/>
      <c r="U32" s="45"/>
      <c r="V32" s="45"/>
      <c r="W32" s="45"/>
    </row>
    <row r="33" spans="1:23" s="48" customFormat="1" ht="12" x14ac:dyDescent="0.2">
      <c r="F33" s="48" t="s">
        <v>31</v>
      </c>
      <c r="H33" s="49" t="s">
        <v>32</v>
      </c>
      <c r="I33" s="49" t="s">
        <v>33</v>
      </c>
      <c r="J33" s="49" t="s">
        <v>34</v>
      </c>
      <c r="K33" s="50"/>
      <c r="L33" s="50"/>
      <c r="M33" s="51"/>
      <c r="N33" s="51"/>
      <c r="O33" s="51"/>
      <c r="P33" s="51"/>
      <c r="Q33" s="51"/>
      <c r="R33" s="52"/>
      <c r="S33" s="52"/>
      <c r="T33" s="52"/>
    </row>
    <row r="34" spans="1:23" s="48" customFormat="1" ht="12.75" customHeight="1" x14ac:dyDescent="0.2">
      <c r="C34" s="17" t="s">
        <v>35</v>
      </c>
      <c r="D34" s="48" t="s">
        <v>11</v>
      </c>
      <c r="E34" s="48" t="s">
        <v>36</v>
      </c>
      <c r="F34" s="48" t="s">
        <v>37</v>
      </c>
      <c r="H34" s="49" t="s">
        <v>38</v>
      </c>
      <c r="I34" s="49" t="s">
        <v>39</v>
      </c>
      <c r="J34" s="49" t="s">
        <v>40</v>
      </c>
      <c r="K34" s="50"/>
      <c r="L34" s="101" t="s">
        <v>41</v>
      </c>
      <c r="M34" s="101"/>
      <c r="N34" s="101"/>
      <c r="O34" s="101"/>
      <c r="P34" s="101"/>
      <c r="Q34" s="101"/>
      <c r="R34" s="101"/>
      <c r="S34" s="51"/>
      <c r="T34" s="51"/>
      <c r="U34" s="51"/>
      <c r="V34" s="51"/>
      <c r="W34" s="51"/>
    </row>
    <row r="35" spans="1:23" s="48" customFormat="1" ht="12" x14ac:dyDescent="0.2">
      <c r="C35" s="24" t="s">
        <v>42</v>
      </c>
      <c r="D35" s="53" t="s">
        <v>43</v>
      </c>
      <c r="E35" s="53" t="s">
        <v>44</v>
      </c>
      <c r="F35" s="53" t="s">
        <v>45</v>
      </c>
      <c r="G35" s="52"/>
      <c r="H35" s="54" t="s">
        <v>46</v>
      </c>
      <c r="I35" s="54" t="s">
        <v>47</v>
      </c>
      <c r="J35" s="54" t="s">
        <v>48</v>
      </c>
      <c r="K35" s="88"/>
      <c r="L35" s="88" t="s">
        <v>49</v>
      </c>
      <c r="M35" s="88" t="s">
        <v>50</v>
      </c>
      <c r="N35" s="88" t="s">
        <v>51</v>
      </c>
      <c r="O35" s="88" t="s">
        <v>52</v>
      </c>
      <c r="P35" s="56"/>
      <c r="Q35" s="88" t="s">
        <v>53</v>
      </c>
      <c r="R35" s="57" t="s">
        <v>54</v>
      </c>
      <c r="S35" s="52"/>
      <c r="T35" s="52"/>
      <c r="U35" s="52"/>
      <c r="V35" s="52"/>
    </row>
    <row r="36" spans="1:23" s="44" customFormat="1" x14ac:dyDescent="0.25">
      <c r="A36" s="5">
        <v>44652</v>
      </c>
      <c r="B36" s="41"/>
      <c r="C36" s="36">
        <f t="shared" ref="C36:C47" si="2">(F14*0.7)+(O14+R14+U14)*0.9</f>
        <v>16023549.802999999</v>
      </c>
      <c r="D36" s="36">
        <f t="shared" ref="D36:D47" si="3">(F14*0.3)+(O14+R14+U14)*0.1</f>
        <v>4170998.3870000006</v>
      </c>
      <c r="E36" s="27">
        <v>20939.920000000002</v>
      </c>
      <c r="F36" s="27">
        <v>0</v>
      </c>
      <c r="H36" s="27">
        <f t="shared" ref="H36:H47" si="4">F14*0.3*0.8+(O14+R14+U14)*0.1*0.8+((E36+F36)*0.8)</f>
        <v>3353550.6456000009</v>
      </c>
      <c r="I36" s="36">
        <f t="shared" ref="I36:I47" si="5">(F14*0.3*0.05+(O14+R14+U14)*0.1*0.05+((E36+F36)*0.05))</f>
        <v>209596.91535000005</v>
      </c>
      <c r="J36" s="36">
        <f t="shared" ref="J36:J47" si="6">F14*0.3*0.05+(O14+R14+U14)*0.1*0.05+(E36+F36)*0.05</f>
        <v>209596.91535000005</v>
      </c>
      <c r="K36" s="27"/>
      <c r="L36" s="36">
        <f>(F14*0.3*0.1+(O14+R14+U14)*0.1*0.1)*61570/1032881+((E36+F36)*0.1*61570/1032881)</f>
        <v>24988.129471061049</v>
      </c>
      <c r="M36" s="36">
        <f>(F14*0.3*0.1+(O14+R14+U14)*0.1*0.1)*44308/1032881+((E36+F36)*0.1*44308/1032881)</f>
        <v>17982.362199184226</v>
      </c>
      <c r="N36" s="36">
        <f>(F14*0.3*0.1+(O14+R14+U14)*0.1*0.1)*295911/1032881+((E36+F36)*0.1*295911/1032881)</f>
        <v>120095.21487593219</v>
      </c>
      <c r="O36" s="36">
        <f>(F14*0.3*0.1+(O14+R14+U14)*0.1*0.1)*47931/1032881+((E36+F36)*0.1*47931/1032881)</f>
        <v>19452.75351108376</v>
      </c>
      <c r="P36" s="58"/>
      <c r="Q36" s="36">
        <f>(F14*0.3*0.1+(O14+R14+U14)*0.1*0.1)*401310/1032881+((E36+F36)*0.1*401310/1032881)</f>
        <v>162871.30482428955</v>
      </c>
      <c r="R36" s="36">
        <f>(F14*0.3*0.1+(O14+R14+U14)*0.1*0.1)*181851/1032881+((E36+F36)*0.1*181851/1032881)</f>
        <v>73804.065818449293</v>
      </c>
      <c r="S36" s="36"/>
      <c r="T36" s="36"/>
      <c r="U36" s="27"/>
      <c r="V36" s="27"/>
    </row>
    <row r="37" spans="1:23" s="44" customFormat="1" x14ac:dyDescent="0.25">
      <c r="A37" s="5">
        <v>44682</v>
      </c>
      <c r="B37" s="41"/>
      <c r="C37" s="36">
        <f t="shared" si="2"/>
        <v>14986036.826000001</v>
      </c>
      <c r="D37" s="36">
        <f t="shared" si="3"/>
        <v>4080897.9540000004</v>
      </c>
      <c r="E37" s="27">
        <v>18068.27</v>
      </c>
      <c r="F37" s="27">
        <v>0</v>
      </c>
      <c r="H37" s="27">
        <f t="shared" si="4"/>
        <v>3279172.9792000004</v>
      </c>
      <c r="I37" s="36">
        <f t="shared" si="5"/>
        <v>204948.31120000003</v>
      </c>
      <c r="J37" s="36">
        <f t="shared" si="6"/>
        <v>204948.31120000003</v>
      </c>
      <c r="K37" s="27"/>
      <c r="L37" s="36">
        <f t="shared" ref="L37:L47" si="7">(F15*0.3*0.1+(O15+R15+U15)*0.1*0.1)*61570/1032881+((E37+F37)*0.1*61570/1032881)</f>
        <v>24433.923212033143</v>
      </c>
      <c r="M37" s="36">
        <f t="shared" ref="M37:M47" si="8">(F15*0.3*0.1+(O15+R15+U15)*0.1*0.1)*44308/1032881+((E37+F37)*0.1*44308/1032881)</f>
        <v>17583.5353204282</v>
      </c>
      <c r="N37" s="36">
        <f t="shared" ref="N37:N47" si="9">(F15*0.3*0.1+(O15+R15+U15)*0.1*0.1)*295911/1032881+((E37+F37)*0.1*295911/1032881)</f>
        <v>117431.64936813284</v>
      </c>
      <c r="O37" s="36">
        <f t="shared" ref="O37:O47" si="10">(F15*0.3*0.1+(O15+R15+U15)*0.1*0.1)*47931/1032881+((E37+F37)*0.1*47931/1032881)</f>
        <v>19021.315144972559</v>
      </c>
      <c r="P37" s="36"/>
      <c r="Q37" s="36">
        <f t="shared" ref="Q37:Q47" si="11">(F15*0.3*0.1+(O15+R15+U15)*0.1*0.1)*401310/1032881+((E37+F37)*0.1*401310/1032881)</f>
        <v>159259.01777198343</v>
      </c>
      <c r="R37" s="36">
        <f t="shared" ref="R37:R47" si="12">(F15*0.3*0.1+(O15+R15+U15)*0.1*0.1)*181851/1032881+((E37+F37)*0.1*181851/1032881)</f>
        <v>72167.181582449877</v>
      </c>
      <c r="S37" s="36"/>
      <c r="T37" s="36"/>
      <c r="U37" s="27"/>
      <c r="V37" s="27"/>
    </row>
    <row r="38" spans="1:23" s="44" customFormat="1" x14ac:dyDescent="0.25">
      <c r="A38" s="5">
        <v>44713</v>
      </c>
      <c r="B38" s="41"/>
      <c r="C38" s="36">
        <f t="shared" si="2"/>
        <v>14526603.853999998</v>
      </c>
      <c r="D38" s="36">
        <f t="shared" si="3"/>
        <v>3910979.7659999998</v>
      </c>
      <c r="E38" s="27">
        <v>30613.040000000001</v>
      </c>
      <c r="F38" s="27">
        <v>50000</v>
      </c>
      <c r="H38" s="27">
        <f>F16*0.3*0.8+(O16+R16+U16)*0.1*0.8+((E38+F38)*0.8)</f>
        <v>3193274.2448</v>
      </c>
      <c r="I38" s="36">
        <f t="shared" si="5"/>
        <v>199579.6403</v>
      </c>
      <c r="J38" s="36">
        <f t="shared" si="6"/>
        <v>199579.6403</v>
      </c>
      <c r="K38" s="27"/>
      <c r="L38" s="36">
        <f t="shared" si="7"/>
        <v>23793.870645836258</v>
      </c>
      <c r="M38" s="36">
        <f t="shared" si="8"/>
        <v>17122.930332559896</v>
      </c>
      <c r="N38" s="36">
        <f t="shared" si="9"/>
        <v>114355.49872795278</v>
      </c>
      <c r="O38" s="36">
        <f t="shared" si="10"/>
        <v>18523.047164618773</v>
      </c>
      <c r="P38" s="36"/>
      <c r="Q38" s="36">
        <f t="shared" si="11"/>
        <v>155087.18903492851</v>
      </c>
      <c r="R38" s="36">
        <f t="shared" si="12"/>
        <v>70276.744694103763</v>
      </c>
      <c r="S38" s="36"/>
      <c r="T38" s="36"/>
      <c r="U38" s="27"/>
      <c r="V38" s="27"/>
    </row>
    <row r="39" spans="1:23" s="44" customFormat="1" x14ac:dyDescent="0.25">
      <c r="A39" s="5">
        <v>44743</v>
      </c>
      <c r="B39" s="41"/>
      <c r="C39" s="36">
        <f t="shared" si="2"/>
        <v>17268610.857000001</v>
      </c>
      <c r="D39" s="36">
        <f t="shared" si="3"/>
        <v>4544770.0530000003</v>
      </c>
      <c r="E39" s="27">
        <v>22845.37</v>
      </c>
      <c r="F39" s="27">
        <v>55000</v>
      </c>
      <c r="H39" s="27">
        <f t="shared" si="4"/>
        <v>3698092.3384000002</v>
      </c>
      <c r="I39" s="36">
        <f t="shared" si="5"/>
        <v>231130.77115000002</v>
      </c>
      <c r="J39" s="36">
        <f t="shared" si="6"/>
        <v>231130.77115000002</v>
      </c>
      <c r="K39" s="27"/>
      <c r="L39" s="36">
        <f t="shared" si="7"/>
        <v>27555.394241360817</v>
      </c>
      <c r="M39" s="36">
        <f t="shared" si="8"/>
        <v>19829.858828101595</v>
      </c>
      <c r="N39" s="36">
        <f t="shared" si="9"/>
        <v>132433.72202948385</v>
      </c>
      <c r="O39" s="36">
        <f t="shared" si="10"/>
        <v>21451.317222391834</v>
      </c>
      <c r="P39" s="36"/>
      <c r="Q39" s="36">
        <f t="shared" si="11"/>
        <v>179604.60066591698</v>
      </c>
      <c r="R39" s="36">
        <f t="shared" si="12"/>
        <v>81386.649312744936</v>
      </c>
      <c r="S39" s="36"/>
      <c r="T39" s="36"/>
      <c r="U39" s="27"/>
      <c r="V39" s="27"/>
      <c r="W39" s="59"/>
    </row>
    <row r="40" spans="1:23" s="44" customFormat="1" x14ac:dyDescent="0.25">
      <c r="A40" s="5">
        <v>44774</v>
      </c>
      <c r="B40" s="41"/>
      <c r="C40" s="36">
        <f t="shared" si="2"/>
        <v>15467381.326999996</v>
      </c>
      <c r="D40" s="36">
        <f t="shared" si="3"/>
        <v>4185437.9829999991</v>
      </c>
      <c r="E40" s="27">
        <v>35617.899999999994</v>
      </c>
      <c r="F40" s="27">
        <v>4010</v>
      </c>
      <c r="H40" s="27">
        <f t="shared" si="4"/>
        <v>3380052.7063999996</v>
      </c>
      <c r="I40" s="36">
        <f t="shared" si="5"/>
        <v>211253.29414999997</v>
      </c>
      <c r="J40" s="36">
        <f t="shared" si="6"/>
        <v>211253.29414999997</v>
      </c>
      <c r="K40" s="27"/>
      <c r="L40" s="36">
        <f t="shared" si="7"/>
        <v>25185.602834819303</v>
      </c>
      <c r="M40" s="36">
        <f t="shared" si="8"/>
        <v>18124.471177605548</v>
      </c>
      <c r="N40" s="36">
        <f t="shared" si="9"/>
        <v>121044.28975887959</v>
      </c>
      <c r="O40" s="36">
        <f t="shared" si="10"/>
        <v>19606.482531683028</v>
      </c>
      <c r="P40" s="36"/>
      <c r="Q40" s="36">
        <f t="shared" si="11"/>
        <v>164158.42575347304</v>
      </c>
      <c r="R40" s="36">
        <f t="shared" si="12"/>
        <v>74387.316243539462</v>
      </c>
      <c r="S40" s="36"/>
      <c r="T40" s="36"/>
      <c r="U40" s="27"/>
      <c r="V40" s="27"/>
      <c r="W40" s="31"/>
    </row>
    <row r="41" spans="1:23" s="44" customFormat="1" x14ac:dyDescent="0.25">
      <c r="A41" s="5">
        <v>44805</v>
      </c>
      <c r="B41" s="41"/>
      <c r="C41" s="36">
        <f t="shared" si="2"/>
        <v>17178437.023999996</v>
      </c>
      <c r="D41" s="36">
        <f t="shared" si="3"/>
        <v>4274803.3959999988</v>
      </c>
      <c r="E41" s="27">
        <v>31783.75</v>
      </c>
      <c r="F41" s="27">
        <v>0</v>
      </c>
      <c r="G41" s="33"/>
      <c r="H41" s="27">
        <f t="shared" si="4"/>
        <v>3445269.7167999991</v>
      </c>
      <c r="I41" s="36">
        <f t="shared" si="5"/>
        <v>215329.35729999995</v>
      </c>
      <c r="J41" s="36">
        <f t="shared" si="6"/>
        <v>215329.35729999995</v>
      </c>
      <c r="K41" s="27"/>
      <c r="L41" s="36">
        <f t="shared" si="7"/>
        <v>25671.55079619239</v>
      </c>
      <c r="M41" s="36">
        <f t="shared" si="8"/>
        <v>18474.176915343392</v>
      </c>
      <c r="N41" s="36">
        <f t="shared" si="9"/>
        <v>123379.79970199913</v>
      </c>
      <c r="O41" s="36">
        <f t="shared" si="10"/>
        <v>19984.783193313262</v>
      </c>
      <c r="P41" s="36"/>
      <c r="Q41" s="36">
        <f t="shared" si="11"/>
        <v>167325.80883579614</v>
      </c>
      <c r="R41" s="36">
        <f t="shared" si="12"/>
        <v>75822.595157355565</v>
      </c>
      <c r="S41" s="36"/>
      <c r="T41" s="36"/>
      <c r="U41" s="27"/>
      <c r="V41" s="27"/>
    </row>
    <row r="42" spans="1:23" s="44" customFormat="1" x14ac:dyDescent="0.25">
      <c r="A42" s="5">
        <v>44835</v>
      </c>
      <c r="B42" s="41"/>
      <c r="C42" s="36">
        <f t="shared" si="2"/>
        <v>16574612.160999998</v>
      </c>
      <c r="D42" s="36">
        <f t="shared" si="3"/>
        <v>4108666.1889999993</v>
      </c>
      <c r="E42" s="27">
        <v>33735.129999999997</v>
      </c>
      <c r="F42" s="27">
        <v>0</v>
      </c>
      <c r="G42" s="33"/>
      <c r="H42" s="27">
        <f t="shared" si="4"/>
        <v>3313921.0551999994</v>
      </c>
      <c r="I42" s="36">
        <f t="shared" si="5"/>
        <v>207120.06594999996</v>
      </c>
      <c r="J42" s="36">
        <f t="shared" si="6"/>
        <v>207120.06594999996</v>
      </c>
      <c r="K42" s="27"/>
      <c r="L42" s="36">
        <f t="shared" si="7"/>
        <v>24692.839660215453</v>
      </c>
      <c r="M42" s="36">
        <f t="shared" si="8"/>
        <v>17769.860965808453</v>
      </c>
      <c r="N42" s="36">
        <f t="shared" si="9"/>
        <v>118676.02528332004</v>
      </c>
      <c r="O42" s="36">
        <f t="shared" si="10"/>
        <v>19222.876364362299</v>
      </c>
      <c r="P42" s="36"/>
      <c r="Q42" s="36">
        <f t="shared" si="11"/>
        <v>160946.62147216278</v>
      </c>
      <c r="R42" s="36">
        <f t="shared" si="12"/>
        <v>72931.908154130913</v>
      </c>
      <c r="S42" s="36"/>
      <c r="T42" s="36"/>
      <c r="U42" s="27"/>
      <c r="V42" s="27"/>
    </row>
    <row r="43" spans="1:23" s="44" customFormat="1" x14ac:dyDescent="0.25">
      <c r="A43" s="5">
        <v>44866</v>
      </c>
      <c r="B43" s="41"/>
      <c r="C43" s="36">
        <f t="shared" si="2"/>
        <v>16256912.078</v>
      </c>
      <c r="D43" s="36">
        <f t="shared" si="3"/>
        <v>3857068.4619999998</v>
      </c>
      <c r="E43" s="27">
        <v>29237.35</v>
      </c>
      <c r="F43" s="27">
        <v>0</v>
      </c>
      <c r="G43" s="33"/>
      <c r="H43" s="27">
        <f t="shared" si="4"/>
        <v>3109044.6496000001</v>
      </c>
      <c r="I43" s="36">
        <f t="shared" si="5"/>
        <v>194315.29060000001</v>
      </c>
      <c r="J43" s="36">
        <f t="shared" si="6"/>
        <v>194315.29060000001</v>
      </c>
      <c r="K43" s="27"/>
      <c r="L43" s="36">
        <f t="shared" si="7"/>
        <v>23166.255245748544</v>
      </c>
      <c r="M43" s="36">
        <f t="shared" si="8"/>
        <v>16671.275579480694</v>
      </c>
      <c r="N43" s="36">
        <f t="shared" si="9"/>
        <v>111339.12223525578</v>
      </c>
      <c r="O43" s="36">
        <f t="shared" si="10"/>
        <v>18034.461266590439</v>
      </c>
      <c r="P43" s="36"/>
      <c r="Q43" s="36">
        <f t="shared" si="11"/>
        <v>150996.42508805176</v>
      </c>
      <c r="R43" s="36">
        <f t="shared" si="12"/>
        <v>68423.041784872796</v>
      </c>
      <c r="S43" s="36"/>
      <c r="T43" s="36"/>
      <c r="U43" s="27"/>
      <c r="V43" s="27"/>
    </row>
    <row r="44" spans="1:23" s="44" customFormat="1" x14ac:dyDescent="0.25">
      <c r="A44" s="5">
        <v>44896</v>
      </c>
      <c r="B44" s="41"/>
      <c r="C44" s="36">
        <f t="shared" si="2"/>
        <v>13914174.434</v>
      </c>
      <c r="D44" s="36">
        <f t="shared" si="3"/>
        <v>3489235.6859999998</v>
      </c>
      <c r="E44" s="27">
        <v>60113.990000000005</v>
      </c>
      <c r="F44" s="27">
        <v>0</v>
      </c>
      <c r="G44" s="33"/>
      <c r="H44" s="27">
        <f t="shared" si="4"/>
        <v>2839479.7407999993</v>
      </c>
      <c r="I44" s="36">
        <f t="shared" si="5"/>
        <v>177467.48379999996</v>
      </c>
      <c r="J44" s="36">
        <f t="shared" si="6"/>
        <v>177467.48379999996</v>
      </c>
      <c r="K44" s="27"/>
      <c r="L44" s="36">
        <f t="shared" si="7"/>
        <v>21157.66090685374</v>
      </c>
      <c r="M44" s="36">
        <f t="shared" si="8"/>
        <v>15225.818409304458</v>
      </c>
      <c r="N44" s="36">
        <f t="shared" si="9"/>
        <v>101685.63580652911</v>
      </c>
      <c r="O44" s="36">
        <f t="shared" si="10"/>
        <v>16470.811189319582</v>
      </c>
      <c r="P44" s="36"/>
      <c r="Q44" s="36">
        <f t="shared" si="11"/>
        <v>137904.51353791577</v>
      </c>
      <c r="R44" s="36">
        <f t="shared" si="12"/>
        <v>62490.527750077301</v>
      </c>
      <c r="S44" s="36"/>
      <c r="T44" s="36"/>
      <c r="U44" s="33"/>
      <c r="V44" s="33"/>
    </row>
    <row r="45" spans="1:23" s="44" customFormat="1" x14ac:dyDescent="0.25">
      <c r="A45" s="5">
        <v>44927</v>
      </c>
      <c r="B45" s="41"/>
      <c r="C45" s="36">
        <f t="shared" si="2"/>
        <v>12903535.8791</v>
      </c>
      <c r="D45" s="36">
        <f t="shared" si="3"/>
        <v>3262777.9339000001</v>
      </c>
      <c r="E45" s="27">
        <v>32141.74</v>
      </c>
      <c r="F45" s="27">
        <v>0</v>
      </c>
      <c r="G45" s="33"/>
      <c r="H45" s="27">
        <f t="shared" si="4"/>
        <v>2635935.73912</v>
      </c>
      <c r="I45" s="36">
        <f t="shared" si="5"/>
        <v>164745.983695</v>
      </c>
      <c r="J45" s="36">
        <f t="shared" si="6"/>
        <v>164745.983695</v>
      </c>
      <c r="K45" s="27"/>
      <c r="L45" s="36">
        <f t="shared" si="7"/>
        <v>19641.004561224672</v>
      </c>
      <c r="M45" s="36">
        <f t="shared" si="8"/>
        <v>14134.377620574027</v>
      </c>
      <c r="N45" s="36">
        <f t="shared" si="9"/>
        <v>94396.447957066004</v>
      </c>
      <c r="O45" s="36">
        <f t="shared" si="10"/>
        <v>15290.124892383623</v>
      </c>
      <c r="P45" s="36"/>
      <c r="Q45" s="36">
        <f t="shared" si="11"/>
        <v>128019.02778081976</v>
      </c>
      <c r="R45" s="36">
        <f t="shared" si="12"/>
        <v>58010.984577931915</v>
      </c>
      <c r="S45" s="60"/>
      <c r="T45" s="60"/>
      <c r="U45" s="33"/>
      <c r="V45" s="33"/>
    </row>
    <row r="46" spans="1:23" s="44" customFormat="1" x14ac:dyDescent="0.25">
      <c r="A46" s="5">
        <v>44958</v>
      </c>
      <c r="B46" s="41"/>
      <c r="C46" s="36">
        <f t="shared" si="2"/>
        <v>11573090.933999998</v>
      </c>
      <c r="D46" s="36">
        <f t="shared" si="3"/>
        <v>3152026.4859999996</v>
      </c>
      <c r="E46" s="27">
        <v>15924.539999999999</v>
      </c>
      <c r="F46" s="27">
        <v>0</v>
      </c>
      <c r="G46" s="33"/>
      <c r="H46" s="27">
        <f t="shared" si="4"/>
        <v>2534360.8207999999</v>
      </c>
      <c r="I46" s="36">
        <f t="shared" si="5"/>
        <v>158397.55129999999</v>
      </c>
      <c r="J46" s="36">
        <f t="shared" si="6"/>
        <v>158397.55129999999</v>
      </c>
      <c r="K46" s="27"/>
      <c r="L46" s="36">
        <f t="shared" si="7"/>
        <v>18884.144898668867</v>
      </c>
      <c r="M46" s="36">
        <f t="shared" si="8"/>
        <v>13589.71401933117</v>
      </c>
      <c r="N46" s="36">
        <f t="shared" si="9"/>
        <v>90758.911825726871</v>
      </c>
      <c r="O46" s="36">
        <f t="shared" si="10"/>
        <v>14700.924949457487</v>
      </c>
      <c r="P46" s="27"/>
      <c r="Q46" s="36">
        <f t="shared" si="11"/>
        <v>123085.85657438368</v>
      </c>
      <c r="R46" s="36">
        <f t="shared" si="12"/>
        <v>55775.5503324319</v>
      </c>
      <c r="S46" s="60"/>
      <c r="T46" s="60"/>
      <c r="U46" s="33"/>
      <c r="V46" s="33"/>
    </row>
    <row r="47" spans="1:23" s="44" customFormat="1" x14ac:dyDescent="0.25">
      <c r="A47" s="5">
        <v>44986</v>
      </c>
      <c r="B47" s="41"/>
      <c r="C47" s="36">
        <f t="shared" si="2"/>
        <v>13897819.263999999</v>
      </c>
      <c r="D47" s="36">
        <f t="shared" si="3"/>
        <v>3314665.5559999999</v>
      </c>
      <c r="E47" s="27">
        <v>16465.009999999998</v>
      </c>
      <c r="F47" s="27">
        <v>0</v>
      </c>
      <c r="G47" s="33"/>
      <c r="H47" s="27">
        <f t="shared" si="4"/>
        <v>2664904.4528000001</v>
      </c>
      <c r="I47" s="36">
        <f t="shared" si="5"/>
        <v>166556.52830000001</v>
      </c>
      <c r="J47" s="36">
        <f t="shared" si="6"/>
        <v>166556.52830000001</v>
      </c>
      <c r="K47" s="27"/>
      <c r="L47" s="36">
        <f t="shared" si="7"/>
        <v>19856.857561386063</v>
      </c>
      <c r="M47" s="36">
        <f t="shared" si="8"/>
        <v>14289.713250444922</v>
      </c>
      <c r="N47" s="36">
        <f t="shared" si="9"/>
        <v>95433.857038286704</v>
      </c>
      <c r="O47" s="36">
        <f t="shared" si="10"/>
        <v>15458.162088270186</v>
      </c>
      <c r="P47" s="27"/>
      <c r="Q47" s="36">
        <f t="shared" si="11"/>
        <v>129425.9462069164</v>
      </c>
      <c r="R47" s="36">
        <f t="shared" si="12"/>
        <v>58648.520454695747</v>
      </c>
      <c r="S47" s="60"/>
      <c r="T47" s="60"/>
      <c r="U47" s="33"/>
      <c r="V47" s="33"/>
    </row>
    <row r="48" spans="1:23" s="44" customFormat="1" ht="15.75" thickBot="1" x14ac:dyDescent="0.3">
      <c r="A48" s="5" t="s">
        <v>28</v>
      </c>
      <c r="B48" s="41"/>
      <c r="C48" s="61">
        <f>SUM(C36:C47)</f>
        <v>180570764.44109994</v>
      </c>
      <c r="D48" s="61">
        <f t="shared" ref="D48:E48" si="13">SUM(D36:D47)</f>
        <v>46352327.851899996</v>
      </c>
      <c r="E48" s="61">
        <f t="shared" si="13"/>
        <v>347486.01</v>
      </c>
      <c r="F48" s="34">
        <f>SUM(F36:F47)</f>
        <v>109010</v>
      </c>
      <c r="G48" s="39"/>
      <c r="H48" s="61">
        <f>SUM(H36:H47)</f>
        <v>37447059.08952</v>
      </c>
      <c r="I48" s="61">
        <f t="shared" ref="I48:R48" si="14">SUM(I36:I47)</f>
        <v>2340441.193095</v>
      </c>
      <c r="J48" s="61">
        <f t="shared" si="14"/>
        <v>2340441.193095</v>
      </c>
      <c r="K48" s="61"/>
      <c r="L48" s="61">
        <f t="shared" si="14"/>
        <v>279027.23403540032</v>
      </c>
      <c r="M48" s="61">
        <f t="shared" si="14"/>
        <v>200798.09461816656</v>
      </c>
      <c r="N48" s="61">
        <f t="shared" si="14"/>
        <v>1341030.1746085649</v>
      </c>
      <c r="O48" s="61">
        <f t="shared" si="14"/>
        <v>217217.05951844683</v>
      </c>
      <c r="P48" s="61"/>
      <c r="Q48" s="61">
        <f t="shared" si="14"/>
        <v>1818684.7375466374</v>
      </c>
      <c r="R48" s="61">
        <f t="shared" si="14"/>
        <v>824125.08586278348</v>
      </c>
      <c r="S48" s="39"/>
      <c r="T48" s="39"/>
      <c r="U48" s="39"/>
      <c r="V48" s="39"/>
      <c r="W48" s="59"/>
    </row>
    <row r="49" spans="1:24" s="44" customFormat="1" ht="15.75" thickTop="1" x14ac:dyDescent="0.25">
      <c r="A49" s="41"/>
      <c r="B49" s="41"/>
      <c r="C49" s="39"/>
      <c r="D49" s="42"/>
      <c r="E49" s="42"/>
      <c r="F49" s="42"/>
      <c r="G49" s="42"/>
      <c r="H49" s="42"/>
      <c r="I49" s="42"/>
      <c r="L49" s="42"/>
      <c r="M49" s="42"/>
      <c r="N49" s="42"/>
      <c r="O49" s="42"/>
      <c r="Q49" s="42"/>
    </row>
    <row r="50" spans="1:24" s="44" customFormat="1" x14ac:dyDescent="0.25">
      <c r="A50" s="41"/>
      <c r="B50" s="41"/>
      <c r="C50" s="42">
        <f>C48/W26</f>
        <v>0.79573551821667177</v>
      </c>
      <c r="D50" s="42">
        <f>D48/W26</f>
        <v>0.20426448178332821</v>
      </c>
      <c r="E50" s="42"/>
      <c r="F50" s="42"/>
      <c r="G50" s="42"/>
      <c r="H50" s="42">
        <f>H48/($D$48+$E$48+$F$48)</f>
        <v>0.8</v>
      </c>
      <c r="I50" s="42">
        <f t="shared" ref="I50:R50" si="15">I48/($D$48+$E$48+$F$48)</f>
        <v>0.05</v>
      </c>
      <c r="J50" s="42">
        <f t="shared" si="15"/>
        <v>0.05</v>
      </c>
      <c r="K50" s="42"/>
      <c r="L50" s="42">
        <f t="shared" si="15"/>
        <v>5.960996474908534E-3</v>
      </c>
      <c r="M50" s="42">
        <f t="shared" si="15"/>
        <v>4.2897487706715486E-3</v>
      </c>
      <c r="N50" s="42">
        <f t="shared" si="15"/>
        <v>2.8649089294894577E-2</v>
      </c>
      <c r="O50" s="42">
        <f t="shared" si="15"/>
        <v>4.6405152190813854E-3</v>
      </c>
      <c r="P50" s="42"/>
      <c r="Q50" s="42">
        <f t="shared" si="15"/>
        <v>3.885345940142184E-2</v>
      </c>
      <c r="R50" s="42">
        <f t="shared" si="15"/>
        <v>1.7606190839022116E-2</v>
      </c>
      <c r="S50" s="42"/>
      <c r="T50" s="42"/>
      <c r="U50" s="42"/>
      <c r="V50" s="42"/>
    </row>
    <row r="51" spans="1:24" s="44" customFormat="1" x14ac:dyDescent="0.25">
      <c r="A51" s="41"/>
      <c r="B51" s="41"/>
      <c r="C51" s="42"/>
      <c r="D51" s="42"/>
      <c r="F51" s="39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X51" s="59"/>
    </row>
    <row r="52" spans="1:24" s="44" customFormat="1" x14ac:dyDescent="0.25">
      <c r="A52" s="62" t="s">
        <v>55</v>
      </c>
      <c r="B52" s="41"/>
      <c r="C52" s="42"/>
      <c r="D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X52" s="59"/>
    </row>
    <row r="53" spans="1:24" s="46" customFormat="1" x14ac:dyDescent="0.25">
      <c r="A53" s="63" t="s">
        <v>77</v>
      </c>
      <c r="B53" s="64"/>
      <c r="C53" s="65"/>
      <c r="D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X53" s="59"/>
    </row>
    <row r="54" spans="1:24" s="46" customFormat="1" x14ac:dyDescent="0.25">
      <c r="A54" s="63" t="s">
        <v>57</v>
      </c>
      <c r="B54" s="64"/>
      <c r="C54" s="65"/>
      <c r="D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</row>
    <row r="55" spans="1:24" s="46" customFormat="1" x14ac:dyDescent="0.25">
      <c r="A55" s="63"/>
      <c r="B55" s="64"/>
      <c r="C55" s="65"/>
      <c r="D55" s="65"/>
      <c r="H55" s="66"/>
      <c r="I55" s="66"/>
      <c r="J55" s="66"/>
      <c r="K55" s="65"/>
      <c r="L55" s="67"/>
      <c r="M55" s="67"/>
      <c r="N55" s="67"/>
      <c r="O55" s="67"/>
      <c r="P55" s="65"/>
      <c r="Q55" s="67"/>
      <c r="R55" s="67"/>
      <c r="S55" s="67"/>
      <c r="T55" s="67"/>
      <c r="U55" s="68"/>
      <c r="V55" s="68"/>
      <c r="W55" s="68"/>
    </row>
    <row r="56" spans="1:24" s="46" customFormat="1" ht="15" customHeight="1" x14ac:dyDescent="0.25">
      <c r="A56" s="63" t="s">
        <v>58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1:24" s="46" customFormat="1" x14ac:dyDescent="0.25">
      <c r="B57" s="64"/>
      <c r="C57" s="65"/>
      <c r="D57" s="7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</row>
    <row r="58" spans="1:24" ht="15" customHeight="1" x14ac:dyDescent="0.25">
      <c r="A58" s="71" t="s">
        <v>59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24" x14ac:dyDescent="0.25">
      <c r="A59" s="71" t="s">
        <v>60</v>
      </c>
    </row>
    <row r="61" spans="1:24" x14ac:dyDescent="0.25">
      <c r="A61" s="71" t="s">
        <v>61</v>
      </c>
    </row>
    <row r="62" spans="1:24" x14ac:dyDescent="0.25">
      <c r="A62" s="71"/>
      <c r="B62" s="72"/>
      <c r="C62" s="73"/>
      <c r="D62" s="73"/>
      <c r="E62" s="73"/>
      <c r="F62" s="73"/>
      <c r="G62" s="73"/>
      <c r="H62" s="73"/>
      <c r="I62" s="74"/>
      <c r="J62" s="73"/>
      <c r="K62" s="73"/>
      <c r="L62" s="73"/>
      <c r="M62" s="73"/>
      <c r="N62" s="73"/>
      <c r="O62" s="73"/>
    </row>
    <row r="63" spans="1:24" x14ac:dyDescent="0.25">
      <c r="A63" s="71" t="s">
        <v>71</v>
      </c>
    </row>
    <row r="65" spans="1:1" x14ac:dyDescent="0.25">
      <c r="A65" s="83" t="s">
        <v>72</v>
      </c>
    </row>
  </sheetData>
  <mergeCells count="13">
    <mergeCell ref="L34:R34"/>
    <mergeCell ref="C10:I10"/>
    <mergeCell ref="L10:O10"/>
    <mergeCell ref="Q10:R10"/>
    <mergeCell ref="T10:U10"/>
    <mergeCell ref="A30:W30"/>
    <mergeCell ref="H32:R32"/>
    <mergeCell ref="A8:W8"/>
    <mergeCell ref="A1:W1"/>
    <mergeCell ref="A2:W2"/>
    <mergeCell ref="A3:W3"/>
    <mergeCell ref="A4:W4"/>
    <mergeCell ref="A5:W5"/>
  </mergeCells>
  <hyperlinks>
    <hyperlink ref="A4" r:id="rId1" xr:uid="{B005EF99-2763-446E-B668-FD8FC7D38DA4}"/>
  </hyperlinks>
  <printOptions horizontalCentered="1" verticalCentered="1"/>
  <pageMargins left="0" right="0" top="0.25" bottom="0.25" header="0.3" footer="0.3"/>
  <pageSetup scale="5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62EC9-B882-4C78-9499-833769D1D27C}">
  <sheetPr>
    <pageSetUpPr fitToPage="1"/>
  </sheetPr>
  <dimension ref="A1:X65"/>
  <sheetViews>
    <sheetView topLeftCell="A4" zoomScale="90" zoomScaleNormal="90" workbookViewId="0">
      <selection activeCell="T19" sqref="T19"/>
    </sheetView>
  </sheetViews>
  <sheetFormatPr defaultRowHeight="15" x14ac:dyDescent="0.25"/>
  <cols>
    <col min="1" max="1" width="9.28515625" style="5" customWidth="1"/>
    <col min="2" max="2" width="1.7109375" style="5" customWidth="1"/>
    <col min="3" max="3" width="15.5703125" style="29" bestFit="1" customWidth="1"/>
    <col min="4" max="4" width="13.5703125" style="29" customWidth="1"/>
    <col min="5" max="5" width="15.85546875" style="29" customWidth="1"/>
    <col min="6" max="6" width="18.140625" style="29" customWidth="1"/>
    <col min="7" max="7" width="1.85546875" style="29" customWidth="1"/>
    <col min="8" max="8" width="15" style="29" customWidth="1"/>
    <col min="9" max="9" width="11.7109375" style="31" customWidth="1"/>
    <col min="10" max="10" width="11.7109375" style="29" customWidth="1"/>
    <col min="11" max="11" width="1.140625" style="29" customWidth="1"/>
    <col min="12" max="12" width="14" style="29" customWidth="1"/>
    <col min="13" max="13" width="13.85546875" style="29" customWidth="1"/>
    <col min="14" max="14" width="12.7109375" style="29" bestFit="1" customWidth="1"/>
    <col min="15" max="15" width="12.42578125" style="29" customWidth="1"/>
    <col min="16" max="16" width="2" style="29" customWidth="1"/>
    <col min="17" max="17" width="15" style="29" customWidth="1"/>
    <col min="18" max="18" width="12.140625" style="29" customWidth="1"/>
    <col min="19" max="19" width="2" style="29" customWidth="1"/>
    <col min="20" max="20" width="13.28515625" style="29" customWidth="1"/>
    <col min="21" max="21" width="12.140625" style="1" customWidth="1"/>
    <col min="22" max="22" width="2" style="1" customWidth="1"/>
    <col min="23" max="23" width="16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4" ht="18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4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4" s="2" customFormat="1" ht="15.75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</row>
    <row r="4" spans="1:24" s="3" customFormat="1" ht="14.25" customHeight="1" x14ac:dyDescent="0.25">
      <c r="A4" s="98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4" s="3" customForma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/>
    </row>
    <row r="6" spans="1:24" s="2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4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4" s="9" customFormat="1" ht="14.25" customHeight="1" x14ac:dyDescent="0.25">
      <c r="A8" s="93" t="s">
        <v>75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5"/>
    </row>
    <row r="9" spans="1:24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8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4" s="14" customFormat="1" ht="28.9" customHeight="1" x14ac:dyDescent="0.2">
      <c r="A10" s="10"/>
      <c r="B10" s="10"/>
      <c r="C10" s="102" t="s">
        <v>6</v>
      </c>
      <c r="D10" s="103"/>
      <c r="E10" s="103"/>
      <c r="F10" s="103"/>
      <c r="G10" s="103"/>
      <c r="H10" s="103"/>
      <c r="I10" s="103"/>
      <c r="J10" s="11"/>
      <c r="K10" s="12"/>
      <c r="L10" s="102" t="s">
        <v>7</v>
      </c>
      <c r="M10" s="103"/>
      <c r="N10" s="103"/>
      <c r="O10" s="104"/>
      <c r="P10" s="13"/>
      <c r="Q10" s="102" t="s">
        <v>8</v>
      </c>
      <c r="R10" s="104"/>
      <c r="S10" s="77"/>
      <c r="T10" s="105" t="s">
        <v>67</v>
      </c>
      <c r="U10" s="106"/>
      <c r="V10" s="79"/>
    </row>
    <row r="11" spans="1:24" s="19" customFormat="1" ht="12" x14ac:dyDescent="0.2">
      <c r="A11" s="15"/>
      <c r="B11" s="15"/>
      <c r="C11" s="16"/>
      <c r="D11" s="17" t="s">
        <v>9</v>
      </c>
      <c r="E11" s="16"/>
      <c r="F11" s="16"/>
      <c r="G11" s="16"/>
      <c r="H11" s="18" t="s">
        <v>10</v>
      </c>
      <c r="I11" s="16"/>
      <c r="J11" s="16"/>
      <c r="K11" s="16"/>
      <c r="L11" s="17" t="s">
        <v>11</v>
      </c>
      <c r="M11" s="17"/>
      <c r="N11" s="17" t="s">
        <v>9</v>
      </c>
      <c r="O11" s="17" t="s">
        <v>11</v>
      </c>
      <c r="Q11" s="17" t="s">
        <v>11</v>
      </c>
      <c r="R11" s="17" t="s">
        <v>11</v>
      </c>
      <c r="S11" s="17"/>
      <c r="T11" s="22" t="s">
        <v>68</v>
      </c>
      <c r="U11" s="22" t="s">
        <v>68</v>
      </c>
      <c r="V11" s="22"/>
      <c r="W11" s="17" t="s">
        <v>11</v>
      </c>
    </row>
    <row r="12" spans="1:24" s="22" customFormat="1" ht="12" x14ac:dyDescent="0.2">
      <c r="A12" s="20"/>
      <c r="B12" s="20"/>
      <c r="C12" s="17" t="s">
        <v>12</v>
      </c>
      <c r="D12" s="21" t="s">
        <v>13</v>
      </c>
      <c r="E12" s="17" t="s">
        <v>12</v>
      </c>
      <c r="F12" s="17" t="s">
        <v>14</v>
      </c>
      <c r="G12" s="17"/>
      <c r="H12" s="18" t="s">
        <v>15</v>
      </c>
      <c r="I12" s="17" t="s">
        <v>16</v>
      </c>
      <c r="J12" s="17"/>
      <c r="K12" s="17"/>
      <c r="L12" s="22" t="s">
        <v>10</v>
      </c>
      <c r="M12" s="17" t="s">
        <v>17</v>
      </c>
      <c r="N12" s="17" t="s">
        <v>17</v>
      </c>
      <c r="O12" s="17" t="s">
        <v>17</v>
      </c>
      <c r="Q12" s="22" t="s">
        <v>10</v>
      </c>
      <c r="R12" s="17" t="s">
        <v>18</v>
      </c>
      <c r="S12" s="17"/>
      <c r="T12" s="22" t="s">
        <v>69</v>
      </c>
      <c r="U12" s="22" t="s">
        <v>69</v>
      </c>
      <c r="W12" s="17" t="s">
        <v>11</v>
      </c>
    </row>
    <row r="13" spans="1:24" s="22" customFormat="1" ht="12" x14ac:dyDescent="0.2">
      <c r="A13" s="23" t="s">
        <v>19</v>
      </c>
      <c r="B13" s="23"/>
      <c r="C13" s="24" t="s">
        <v>20</v>
      </c>
      <c r="D13" s="24" t="s">
        <v>12</v>
      </c>
      <c r="E13" s="24" t="s">
        <v>21</v>
      </c>
      <c r="F13" s="24" t="s">
        <v>22</v>
      </c>
      <c r="G13" s="24"/>
      <c r="H13" s="25" t="s">
        <v>23</v>
      </c>
      <c r="I13" s="24" t="s">
        <v>24</v>
      </c>
      <c r="J13" s="21"/>
      <c r="K13" s="21"/>
      <c r="L13" s="24" t="s">
        <v>25</v>
      </c>
      <c r="M13" s="24" t="s">
        <v>26</v>
      </c>
      <c r="N13" s="24" t="s">
        <v>12</v>
      </c>
      <c r="O13" s="24" t="s">
        <v>22</v>
      </c>
      <c r="P13" s="26"/>
      <c r="Q13" s="24" t="s">
        <v>8</v>
      </c>
      <c r="R13" s="24" t="s">
        <v>22</v>
      </c>
      <c r="S13" s="21"/>
      <c r="T13" s="78" t="s">
        <v>76</v>
      </c>
      <c r="U13" s="78" t="s">
        <v>22</v>
      </c>
      <c r="V13" s="26"/>
      <c r="W13" s="24" t="s">
        <v>27</v>
      </c>
    </row>
    <row r="14" spans="1:24" x14ac:dyDescent="0.25">
      <c r="A14" s="5">
        <v>44287</v>
      </c>
      <c r="C14" s="27">
        <v>137878961.22999999</v>
      </c>
      <c r="D14" s="27">
        <v>1866059.08</v>
      </c>
      <c r="E14" s="27">
        <v>125722580.03</v>
      </c>
      <c r="F14" s="27">
        <v>10290322.119999999</v>
      </c>
      <c r="G14" s="27"/>
      <c r="H14" s="28">
        <v>1496</v>
      </c>
      <c r="I14" s="27">
        <v>229</v>
      </c>
      <c r="J14" s="27"/>
      <c r="L14" s="30">
        <v>54</v>
      </c>
      <c r="M14" s="27">
        <v>29718333.25</v>
      </c>
      <c r="N14" s="27">
        <v>144040</v>
      </c>
      <c r="O14" s="27">
        <v>4018268.75</v>
      </c>
      <c r="Q14" s="31">
        <v>0</v>
      </c>
      <c r="R14" s="29">
        <v>0</v>
      </c>
      <c r="T14" s="29">
        <v>2953279.15</v>
      </c>
      <c r="U14" s="27">
        <v>-7747</v>
      </c>
      <c r="W14" s="27">
        <f>R14+O14+F14+U14</f>
        <v>14300843.869999999</v>
      </c>
    </row>
    <row r="15" spans="1:24" x14ac:dyDescent="0.25">
      <c r="A15" s="5">
        <v>44317</v>
      </c>
      <c r="C15" s="27">
        <v>153862211.31999999</v>
      </c>
      <c r="D15" s="27">
        <v>1989568.21</v>
      </c>
      <c r="E15" s="27">
        <v>139749159.22999999</v>
      </c>
      <c r="F15" s="27">
        <v>12123483.880000001</v>
      </c>
      <c r="G15" s="27"/>
      <c r="H15" s="28">
        <v>1498</v>
      </c>
      <c r="I15" s="27">
        <v>261</v>
      </c>
      <c r="J15" s="27"/>
      <c r="K15" s="32"/>
      <c r="L15" s="30">
        <v>59.29</v>
      </c>
      <c r="M15" s="27">
        <v>32034030.25</v>
      </c>
      <c r="N15" s="27">
        <v>179325</v>
      </c>
      <c r="O15" s="27">
        <v>6255483.5</v>
      </c>
      <c r="P15" s="32"/>
      <c r="Q15" s="31">
        <v>10.57</v>
      </c>
      <c r="R15" s="29">
        <v>97247</v>
      </c>
      <c r="T15" s="29">
        <v>2418247.11</v>
      </c>
      <c r="U15" s="29">
        <v>307606.86</v>
      </c>
      <c r="V15" s="32"/>
      <c r="W15" s="27">
        <f t="shared" ref="W15:W25" si="0">R15+O15+F15+U15</f>
        <v>18783821.240000002</v>
      </c>
    </row>
    <row r="16" spans="1:24" x14ac:dyDescent="0.25">
      <c r="A16" s="5">
        <v>44348</v>
      </c>
      <c r="C16" s="27">
        <v>138447436.47999999</v>
      </c>
      <c r="D16" s="27">
        <v>2124742.31</v>
      </c>
      <c r="E16" s="27">
        <v>125572539.70999999</v>
      </c>
      <c r="F16" s="27">
        <v>10750154.460000001</v>
      </c>
      <c r="G16" s="27"/>
      <c r="H16" s="28">
        <v>1592</v>
      </c>
      <c r="I16" s="27">
        <v>225</v>
      </c>
      <c r="J16" s="27"/>
      <c r="K16" s="32"/>
      <c r="L16" s="32">
        <v>56</v>
      </c>
      <c r="M16" s="27">
        <v>34441245.5</v>
      </c>
      <c r="N16" s="27">
        <v>241210</v>
      </c>
      <c r="O16" s="27">
        <v>6079816.75</v>
      </c>
      <c r="P16" s="32"/>
      <c r="Q16" s="31">
        <v>8</v>
      </c>
      <c r="R16" s="29">
        <v>330036</v>
      </c>
      <c r="T16" s="29">
        <v>2641115.2000000002</v>
      </c>
      <c r="U16" s="29">
        <v>314844.57</v>
      </c>
      <c r="V16" s="32"/>
      <c r="W16" s="27">
        <f t="shared" si="0"/>
        <v>17474851.780000001</v>
      </c>
    </row>
    <row r="17" spans="1:23" x14ac:dyDescent="0.25">
      <c r="A17" s="5">
        <v>44378</v>
      </c>
      <c r="C17" s="27">
        <v>163055113.69999999</v>
      </c>
      <c r="D17" s="27">
        <v>2264002.0699999998</v>
      </c>
      <c r="E17" s="27">
        <v>147803909.47</v>
      </c>
      <c r="F17" s="27">
        <v>12987202.16</v>
      </c>
      <c r="G17" s="33"/>
      <c r="H17" s="28">
        <v>1615</v>
      </c>
      <c r="I17" s="27">
        <v>259</v>
      </c>
      <c r="J17" s="27"/>
      <c r="K17" s="33"/>
      <c r="L17" s="32">
        <v>59</v>
      </c>
      <c r="M17" s="27">
        <v>42648056</v>
      </c>
      <c r="N17" s="27">
        <v>252520</v>
      </c>
      <c r="O17" s="27">
        <v>8319636.5</v>
      </c>
      <c r="P17" s="33"/>
      <c r="Q17" s="31">
        <v>10.35</v>
      </c>
      <c r="R17" s="29">
        <v>452027</v>
      </c>
      <c r="T17" s="29">
        <v>1633456.24</v>
      </c>
      <c r="U17" s="29">
        <v>300641.74</v>
      </c>
      <c r="V17" s="33"/>
      <c r="W17" s="27">
        <f t="shared" si="0"/>
        <v>22059507.399999999</v>
      </c>
    </row>
    <row r="18" spans="1:23" x14ac:dyDescent="0.25">
      <c r="A18" s="5">
        <v>44409</v>
      </c>
      <c r="C18" s="27">
        <v>155673556.66</v>
      </c>
      <c r="D18" s="27">
        <v>2461804.7999999998</v>
      </c>
      <c r="E18" s="27">
        <v>141160152.63999999</v>
      </c>
      <c r="F18" s="27">
        <v>12051599.220000001</v>
      </c>
      <c r="G18" s="33"/>
      <c r="H18" s="28">
        <v>1614</v>
      </c>
      <c r="I18" s="27">
        <v>241</v>
      </c>
      <c r="J18" s="27"/>
      <c r="K18" s="33"/>
      <c r="L18" s="32">
        <v>56</v>
      </c>
      <c r="M18" s="27">
        <v>43582784.5</v>
      </c>
      <c r="N18" s="27">
        <v>205750</v>
      </c>
      <c r="O18" s="27">
        <v>8549681.5</v>
      </c>
      <c r="P18" s="33"/>
      <c r="Q18" s="31">
        <v>9.61</v>
      </c>
      <c r="R18" s="29">
        <v>413684</v>
      </c>
      <c r="T18" s="29">
        <v>1414218.43</v>
      </c>
      <c r="U18" s="29">
        <v>303903.58</v>
      </c>
      <c r="V18" s="33"/>
      <c r="W18" s="27">
        <f t="shared" si="0"/>
        <v>21318868.299999997</v>
      </c>
    </row>
    <row r="19" spans="1:23" x14ac:dyDescent="0.25">
      <c r="A19" s="5">
        <v>44440</v>
      </c>
      <c r="C19" s="27">
        <v>147395436.44999999</v>
      </c>
      <c r="D19" s="27">
        <v>2651369.06</v>
      </c>
      <c r="E19" s="27">
        <v>134001946.54000001</v>
      </c>
      <c r="F19" s="27">
        <v>10742120.85</v>
      </c>
      <c r="G19" s="33"/>
      <c r="H19" s="28">
        <v>1606</v>
      </c>
      <c r="I19" s="27">
        <v>223</v>
      </c>
      <c r="J19" s="27"/>
      <c r="K19" s="33"/>
      <c r="L19" s="32">
        <v>55</v>
      </c>
      <c r="M19" s="27">
        <v>39667165</v>
      </c>
      <c r="N19" s="27">
        <v>204990</v>
      </c>
      <c r="O19" s="27">
        <v>9611602.25</v>
      </c>
      <c r="P19" s="33"/>
      <c r="Q19" s="31">
        <v>8.3000000000000007</v>
      </c>
      <c r="R19" s="29">
        <v>343877</v>
      </c>
      <c r="T19" s="29">
        <v>2708184.68</v>
      </c>
      <c r="U19" s="29">
        <v>421525.03</v>
      </c>
      <c r="V19" s="33"/>
      <c r="W19" s="27">
        <f t="shared" si="0"/>
        <v>21119125.130000003</v>
      </c>
    </row>
    <row r="20" spans="1:23" x14ac:dyDescent="0.25">
      <c r="A20" s="5">
        <v>44470</v>
      </c>
      <c r="C20" s="27">
        <v>155556830.13999999</v>
      </c>
      <c r="D20" s="27">
        <v>2452366.71</v>
      </c>
      <c r="E20" s="27">
        <v>141703627.66999999</v>
      </c>
      <c r="F20" s="27">
        <v>11400835.76</v>
      </c>
      <c r="G20" s="33"/>
      <c r="H20" s="28">
        <v>1608</v>
      </c>
      <c r="I20" s="27">
        <v>229</v>
      </c>
      <c r="J20" s="27"/>
      <c r="K20" s="33"/>
      <c r="L20" s="32">
        <v>92</v>
      </c>
      <c r="M20" s="27">
        <v>42870105.049999997</v>
      </c>
      <c r="N20" s="27">
        <v>228135</v>
      </c>
      <c r="O20" s="27">
        <v>7625284.2999999998</v>
      </c>
      <c r="P20" s="33"/>
      <c r="Q20" s="31">
        <v>14</v>
      </c>
      <c r="R20" s="29">
        <v>337020</v>
      </c>
      <c r="T20" s="29">
        <v>3918782.45</v>
      </c>
      <c r="U20" s="29">
        <v>222436.8</v>
      </c>
      <c r="V20" s="33"/>
      <c r="W20" s="27">
        <f t="shared" si="0"/>
        <v>19585576.859999999</v>
      </c>
    </row>
    <row r="21" spans="1:23" x14ac:dyDescent="0.25">
      <c r="A21" s="5">
        <v>44501</v>
      </c>
      <c r="C21" s="27">
        <v>133336688.43000001</v>
      </c>
      <c r="D21" s="27">
        <v>2216662.67</v>
      </c>
      <c r="E21" s="27">
        <v>120959140.40000001</v>
      </c>
      <c r="F21" s="27">
        <v>10160885.359999999</v>
      </c>
      <c r="G21" s="33"/>
      <c r="H21" s="28">
        <v>1608</v>
      </c>
      <c r="I21" s="27">
        <v>211</v>
      </c>
      <c r="J21" s="27"/>
      <c r="K21" s="33"/>
      <c r="L21" s="32">
        <v>132</v>
      </c>
      <c r="M21" s="27">
        <v>38429131.259999998</v>
      </c>
      <c r="N21" s="27">
        <v>177500</v>
      </c>
      <c r="O21" s="27">
        <v>8359076.2599999998</v>
      </c>
      <c r="P21" s="33"/>
      <c r="Q21" s="31">
        <v>19</v>
      </c>
      <c r="R21" s="29">
        <v>360077</v>
      </c>
      <c r="T21" s="29">
        <v>3785425.45</v>
      </c>
      <c r="U21" s="29">
        <v>496440.34</v>
      </c>
      <c r="V21" s="33"/>
      <c r="W21" s="27">
        <f t="shared" si="0"/>
        <v>19376478.959999997</v>
      </c>
    </row>
    <row r="22" spans="1:23" x14ac:dyDescent="0.25">
      <c r="A22" s="5">
        <v>44531</v>
      </c>
      <c r="C22" s="27">
        <v>128685452.06999999</v>
      </c>
      <c r="D22" s="27">
        <v>2255545.79</v>
      </c>
      <c r="E22" s="27">
        <v>117119606.26000001</v>
      </c>
      <c r="F22" s="27">
        <v>9310300.0199999996</v>
      </c>
      <c r="G22" s="33"/>
      <c r="H22" s="28">
        <v>1608</v>
      </c>
      <c r="I22" s="27">
        <v>187</v>
      </c>
      <c r="J22" s="27"/>
      <c r="K22" s="33"/>
      <c r="L22" s="32">
        <v>146</v>
      </c>
      <c r="M22" s="27">
        <v>44387592</v>
      </c>
      <c r="N22" s="27">
        <v>285725</v>
      </c>
      <c r="O22" s="27">
        <v>8001314</v>
      </c>
      <c r="P22" s="32"/>
      <c r="Q22" s="31">
        <v>19</v>
      </c>
      <c r="R22" s="29">
        <v>318790</v>
      </c>
      <c r="T22" s="29">
        <v>3349123.1</v>
      </c>
      <c r="U22" s="29">
        <v>288742.90000000002</v>
      </c>
      <c r="V22" s="32"/>
      <c r="W22" s="27">
        <f t="shared" si="0"/>
        <v>17919146.919999998</v>
      </c>
    </row>
    <row r="23" spans="1:23" x14ac:dyDescent="0.25">
      <c r="A23" s="5">
        <v>44562</v>
      </c>
      <c r="C23" s="27">
        <v>113801456.44000001</v>
      </c>
      <c r="D23" s="27">
        <v>1912329.34</v>
      </c>
      <c r="E23" s="27">
        <v>103748534.36</v>
      </c>
      <c r="F23" s="27">
        <v>8140592.7399999956</v>
      </c>
      <c r="G23" s="33"/>
      <c r="H23" s="28">
        <v>1608</v>
      </c>
      <c r="I23" s="27">
        <v>163.30831206868874</v>
      </c>
      <c r="J23" s="27"/>
      <c r="K23" s="33"/>
      <c r="L23" s="32">
        <v>149</v>
      </c>
      <c r="M23" s="27">
        <v>35600217</v>
      </c>
      <c r="N23" s="27">
        <v>78075</v>
      </c>
      <c r="O23" s="27">
        <v>7990665.25</v>
      </c>
      <c r="P23" s="33"/>
      <c r="Q23" s="31">
        <v>19</v>
      </c>
      <c r="R23" s="29">
        <v>329273</v>
      </c>
      <c r="T23" s="29">
        <v>2984261.4</v>
      </c>
      <c r="U23" s="27">
        <v>-240339.5</v>
      </c>
      <c r="V23" s="33"/>
      <c r="W23" s="27">
        <f t="shared" si="0"/>
        <v>16220191.489999995</v>
      </c>
    </row>
    <row r="24" spans="1:23" x14ac:dyDescent="0.25">
      <c r="A24" s="5">
        <v>44593</v>
      </c>
      <c r="C24" s="27">
        <v>127511180.25</v>
      </c>
      <c r="D24" s="27">
        <v>1908278.72</v>
      </c>
      <c r="E24" s="27">
        <v>115991835.06</v>
      </c>
      <c r="F24" s="27">
        <v>9611066.4700000007</v>
      </c>
      <c r="G24" s="33"/>
      <c r="H24" s="28">
        <v>1608</v>
      </c>
      <c r="I24" s="27">
        <v>213</v>
      </c>
      <c r="J24" s="27"/>
      <c r="K24" s="33"/>
      <c r="L24" s="32">
        <v>149</v>
      </c>
      <c r="M24" s="27">
        <v>36887498.5</v>
      </c>
      <c r="N24" s="27">
        <v>117725</v>
      </c>
      <c r="O24" s="27">
        <v>7503021</v>
      </c>
      <c r="P24" s="33"/>
      <c r="Q24" s="31">
        <v>19</v>
      </c>
      <c r="R24" s="29">
        <v>343139</v>
      </c>
      <c r="T24" s="29">
        <v>983948.34</v>
      </c>
      <c r="U24" s="27">
        <v>20789.39</v>
      </c>
      <c r="V24" s="33"/>
      <c r="W24" s="27">
        <f t="shared" si="0"/>
        <v>17478015.859999999</v>
      </c>
    </row>
    <row r="25" spans="1:23" x14ac:dyDescent="0.25">
      <c r="A25" s="5">
        <v>44621</v>
      </c>
      <c r="C25" s="27">
        <v>131184925.67</v>
      </c>
      <c r="D25" s="27">
        <v>2301230.87</v>
      </c>
      <c r="E25" s="27">
        <v>119141180.81999999</v>
      </c>
      <c r="F25" s="27">
        <v>9742513.9800000023</v>
      </c>
      <c r="G25" s="33">
        <v>1608</v>
      </c>
      <c r="H25" s="28">
        <v>1608</v>
      </c>
      <c r="I25" s="27">
        <v>195</v>
      </c>
      <c r="J25" s="27"/>
      <c r="K25" s="33"/>
      <c r="L25" s="32">
        <v>149</v>
      </c>
      <c r="M25" s="27">
        <v>39913984.5</v>
      </c>
      <c r="N25" s="27">
        <v>66525</v>
      </c>
      <c r="O25" s="27">
        <v>5979111</v>
      </c>
      <c r="P25" s="33"/>
      <c r="Q25" s="31">
        <v>19</v>
      </c>
      <c r="R25" s="29">
        <v>424081</v>
      </c>
      <c r="T25" s="29">
        <v>970942.7</v>
      </c>
      <c r="U25" s="27">
        <v>86757.89999999998</v>
      </c>
      <c r="V25" s="33"/>
      <c r="W25" s="27">
        <f t="shared" si="0"/>
        <v>16232463.880000003</v>
      </c>
    </row>
    <row r="26" spans="1:23" ht="15.75" thickBot="1" x14ac:dyDescent="0.3">
      <c r="A26" s="5" t="s">
        <v>28</v>
      </c>
      <c r="C26" s="34">
        <f>SUM(C14:C25)</f>
        <v>1686389248.8399999</v>
      </c>
      <c r="D26" s="34">
        <f t="shared" ref="D26:E26" si="1">SUM(D14:D25)</f>
        <v>26403959.629999995</v>
      </c>
      <c r="E26" s="34">
        <f t="shared" si="1"/>
        <v>1532674212.1899996</v>
      </c>
      <c r="F26" s="34">
        <f>SUM(F14:F25)</f>
        <v>127311077.02</v>
      </c>
      <c r="G26" s="34"/>
      <c r="H26" s="35">
        <v>1589</v>
      </c>
      <c r="I26" s="34">
        <f>F26/H26/365</f>
        <v>219.50753385001337</v>
      </c>
      <c r="J26" s="36"/>
      <c r="K26" s="27"/>
      <c r="L26" s="37">
        <v>96.15</v>
      </c>
      <c r="M26" s="34">
        <f>SUM(M14:M25)</f>
        <v>460180142.81</v>
      </c>
      <c r="N26" s="34">
        <f>SUM(N14:N25)</f>
        <v>2181520</v>
      </c>
      <c r="O26" s="34">
        <f>SUM(O14:O25)</f>
        <v>88292961.060000002</v>
      </c>
      <c r="P26" s="36"/>
      <c r="Q26" s="87">
        <v>14.41</v>
      </c>
      <c r="R26" s="34">
        <f>SUM(R14:R25)</f>
        <v>3749251</v>
      </c>
      <c r="S26" s="36"/>
      <c r="T26" s="34">
        <f>SUM(T14:T25)</f>
        <v>29760984.249999996</v>
      </c>
      <c r="U26" s="34">
        <f>SUM(U14:U25)</f>
        <v>2515602.61</v>
      </c>
      <c r="V26" s="36"/>
      <c r="W26" s="34">
        <f>SUM(W14:W25)</f>
        <v>221868891.69</v>
      </c>
    </row>
    <row r="27" spans="1:23" ht="10.5" customHeight="1" thickTop="1" x14ac:dyDescent="0.25">
      <c r="C27" s="39"/>
      <c r="D27" s="39"/>
      <c r="E27" s="39"/>
      <c r="F27" s="39"/>
      <c r="G27" s="39"/>
      <c r="H27" s="39"/>
      <c r="L27" s="40"/>
      <c r="M27" s="39"/>
      <c r="N27" s="39"/>
      <c r="O27" s="39"/>
      <c r="P27" s="39"/>
      <c r="Q27" s="40"/>
      <c r="R27" s="39"/>
      <c r="S27" s="39"/>
      <c r="T27" s="39"/>
    </row>
    <row r="28" spans="1:23" s="44" customFormat="1" x14ac:dyDescent="0.25">
      <c r="A28" s="41"/>
      <c r="B28" s="41"/>
      <c r="C28" s="42"/>
      <c r="D28" s="43">
        <f>D26/$C$26</f>
        <v>1.5657096751632061E-2</v>
      </c>
      <c r="E28" s="43">
        <f>E26/$C$26</f>
        <v>0.90884961063661029</v>
      </c>
      <c r="F28" s="43">
        <f>F26/$C$26</f>
        <v>7.5493292611757468E-2</v>
      </c>
      <c r="G28" s="43"/>
      <c r="H28" s="42"/>
      <c r="L28" s="42"/>
      <c r="M28" s="42"/>
      <c r="N28" s="42"/>
      <c r="O28" s="42">
        <f>O26/$M$26</f>
        <v>0.1918660820974506</v>
      </c>
      <c r="P28" s="42"/>
      <c r="Q28" s="42"/>
      <c r="R28" s="42"/>
      <c r="S28" s="42"/>
      <c r="T28" s="42"/>
    </row>
    <row r="29" spans="1:23" s="44" customFormat="1" x14ac:dyDescent="0.25">
      <c r="A29" s="41"/>
      <c r="B29" s="41"/>
      <c r="C29" s="42"/>
      <c r="D29" s="42"/>
      <c r="E29" s="42"/>
      <c r="F29" s="42"/>
      <c r="G29" s="42"/>
      <c r="H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3" s="44" customFormat="1" x14ac:dyDescent="0.25">
      <c r="A30" s="93" t="s">
        <v>29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</row>
    <row r="31" spans="1:23" s="46" customForma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3" s="46" customFormat="1" x14ac:dyDescent="0.25">
      <c r="A32" s="45"/>
      <c r="B32" s="45"/>
      <c r="C32" s="45"/>
      <c r="D32" s="45"/>
      <c r="E32" s="45"/>
      <c r="F32" s="45"/>
      <c r="G32" s="45"/>
      <c r="H32" s="107" t="s">
        <v>30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45"/>
      <c r="T32" s="45"/>
      <c r="U32" s="45"/>
      <c r="V32" s="45"/>
      <c r="W32" s="45"/>
    </row>
    <row r="33" spans="1:23" s="48" customFormat="1" ht="12" x14ac:dyDescent="0.2">
      <c r="F33" s="48" t="s">
        <v>31</v>
      </c>
      <c r="H33" s="49" t="s">
        <v>32</v>
      </c>
      <c r="I33" s="49" t="s">
        <v>33</v>
      </c>
      <c r="J33" s="49" t="s">
        <v>34</v>
      </c>
      <c r="K33" s="50"/>
      <c r="L33" s="50"/>
      <c r="M33" s="51"/>
      <c r="N33" s="51"/>
      <c r="O33" s="51"/>
      <c r="P33" s="51"/>
      <c r="Q33" s="51"/>
      <c r="R33" s="52"/>
      <c r="S33" s="52"/>
      <c r="T33" s="52"/>
    </row>
    <row r="34" spans="1:23" s="48" customFormat="1" ht="12.75" customHeight="1" x14ac:dyDescent="0.2">
      <c r="C34" s="17" t="s">
        <v>35</v>
      </c>
      <c r="D34" s="48" t="s">
        <v>11</v>
      </c>
      <c r="E34" s="48" t="s">
        <v>36</v>
      </c>
      <c r="F34" s="48" t="s">
        <v>37</v>
      </c>
      <c r="H34" s="49" t="s">
        <v>38</v>
      </c>
      <c r="I34" s="49" t="s">
        <v>39</v>
      </c>
      <c r="J34" s="49" t="s">
        <v>40</v>
      </c>
      <c r="K34" s="50"/>
      <c r="L34" s="101" t="s">
        <v>41</v>
      </c>
      <c r="M34" s="101"/>
      <c r="N34" s="101"/>
      <c r="O34" s="101"/>
      <c r="P34" s="101"/>
      <c r="Q34" s="101"/>
      <c r="R34" s="101"/>
      <c r="S34" s="51"/>
      <c r="T34" s="51"/>
      <c r="U34" s="51"/>
      <c r="V34" s="51"/>
      <c r="W34" s="51"/>
    </row>
    <row r="35" spans="1:23" s="48" customFormat="1" ht="12" x14ac:dyDescent="0.2">
      <c r="C35" s="24" t="s">
        <v>42</v>
      </c>
      <c r="D35" s="53" t="s">
        <v>43</v>
      </c>
      <c r="E35" s="53" t="s">
        <v>44</v>
      </c>
      <c r="F35" s="53" t="s">
        <v>45</v>
      </c>
      <c r="G35" s="52"/>
      <c r="H35" s="54" t="s">
        <v>46</v>
      </c>
      <c r="I35" s="54" t="s">
        <v>47</v>
      </c>
      <c r="J35" s="54" t="s">
        <v>48</v>
      </c>
      <c r="K35" s="86"/>
      <c r="L35" s="86" t="s">
        <v>49</v>
      </c>
      <c r="M35" s="86" t="s">
        <v>50</v>
      </c>
      <c r="N35" s="86" t="s">
        <v>51</v>
      </c>
      <c r="O35" s="86" t="s">
        <v>52</v>
      </c>
      <c r="P35" s="56"/>
      <c r="Q35" s="86" t="s">
        <v>53</v>
      </c>
      <c r="R35" s="57" t="s">
        <v>54</v>
      </c>
      <c r="S35" s="52"/>
      <c r="T35" s="52"/>
      <c r="U35" s="52"/>
      <c r="V35" s="52"/>
    </row>
    <row r="36" spans="1:23" s="44" customFormat="1" x14ac:dyDescent="0.25">
      <c r="A36" s="5">
        <v>44287</v>
      </c>
      <c r="B36" s="41"/>
      <c r="C36" s="36">
        <f t="shared" ref="C36:C47" si="2">(F14*0.7)+(O14+R14+U14)*0.9</f>
        <v>10812695.059</v>
      </c>
      <c r="D36" s="36">
        <f t="shared" ref="D36:D47" si="3">(F14*0.3)+(O14+R14+U14)*0.1</f>
        <v>3488148.8109999998</v>
      </c>
      <c r="E36" s="27">
        <v>3011.75</v>
      </c>
      <c r="F36" s="27">
        <v>0</v>
      </c>
      <c r="H36" s="27">
        <f t="shared" ref="H36:H47" si="4">F14*0.3*0.8+(O14+R14+U14)*0.1*0.8+((E36+F36)*0.8)</f>
        <v>2792928.4487999999</v>
      </c>
      <c r="I36" s="36">
        <f t="shared" ref="I36:I47" si="5">(F14*0.3*0.05+(O14+R14+U14)*0.1*0.05+((E36+F36)*0.05))</f>
        <v>174558.02804999999</v>
      </c>
      <c r="J36" s="36">
        <f t="shared" ref="J36:J47" si="6">F14*0.3*0.05+(O14+R14+U14)*0.1*0.05+(E36+F36)*0.05</f>
        <v>174558.02804999999</v>
      </c>
      <c r="K36" s="27"/>
      <c r="L36" s="36">
        <f t="shared" ref="L36:L38" si="7">(F14*0.3*0.1+(O14+R14+U14)*0.1*0.1)*63096/1013091+((E36+F36)*0.1*63096/1013091)</f>
        <v>21743.186619647793</v>
      </c>
      <c r="M36" s="36">
        <f t="shared" ref="M36:M38" si="8">(F14*0.3*0.1+(O14+R14+U14)*0.1*0.1)*47980/1013091+((E36+F36)*0.1*47980/1013091)</f>
        <v>16534.139945649502</v>
      </c>
      <c r="N36" s="36">
        <f t="shared" ref="N36:N38" si="9">(F14*0.3*0.1+(O14+R14+U14)*0.1*0.1)*297488/1013091+((E36+F36)*0.1*297488/1013091)</f>
        <v>102515.80292103751</v>
      </c>
      <c r="O36" s="36">
        <f t="shared" ref="O36:O38" si="10">(F14*0.3*0.1+(O14+R14+U14)*0.1*0.1)*49221/1013091+((E36+F36)*0.1*49221/1013091)</f>
        <v>16961.794544910674</v>
      </c>
      <c r="P36" s="58"/>
      <c r="Q36" s="36">
        <f t="shared" ref="Q36:Q38" si="11">(F14*0.3*0.1+(O14+R14+U14)*0.1*0.1)*372813/1013091+((E36+F36)*0.1*372813/1013091)</f>
        <v>128473.16205830405</v>
      </c>
      <c r="R36" s="36">
        <f t="shared" ref="R36:R38" si="12">(F14*0.3*0.1+(O14+R14+U14)*0.1*0.1)*182493/1013091+((E36+F36)*0.1*182493/1013091)</f>
        <v>62887.970010450488</v>
      </c>
      <c r="S36" s="36"/>
      <c r="T36" s="36"/>
      <c r="U36" s="27"/>
      <c r="V36" s="27"/>
    </row>
    <row r="37" spans="1:23" s="44" customFormat="1" x14ac:dyDescent="0.25">
      <c r="A37" s="5">
        <v>44317</v>
      </c>
      <c r="B37" s="41"/>
      <c r="C37" s="36">
        <f t="shared" si="2"/>
        <v>14480742.34</v>
      </c>
      <c r="D37" s="36">
        <f t="shared" si="3"/>
        <v>4303078.9000000004</v>
      </c>
      <c r="E37" s="27">
        <v>0</v>
      </c>
      <c r="F37" s="27">
        <v>200</v>
      </c>
      <c r="H37" s="27">
        <f t="shared" si="4"/>
        <v>3442623.1200000006</v>
      </c>
      <c r="I37" s="36">
        <f t="shared" si="5"/>
        <v>215163.94500000004</v>
      </c>
      <c r="J37" s="36">
        <f t="shared" si="6"/>
        <v>215163.94500000004</v>
      </c>
      <c r="K37" s="27"/>
      <c r="L37" s="36">
        <f t="shared" si="7"/>
        <v>26801.115149024132</v>
      </c>
      <c r="M37" s="36">
        <f t="shared" si="8"/>
        <v>20380.333220016764</v>
      </c>
      <c r="N37" s="36">
        <f t="shared" si="9"/>
        <v>126363.16317124525</v>
      </c>
      <c r="O37" s="36">
        <f t="shared" si="10"/>
        <v>20907.469391880892</v>
      </c>
      <c r="P37" s="36"/>
      <c r="Q37" s="36">
        <f t="shared" si="11"/>
        <v>158358.75716452918</v>
      </c>
      <c r="R37" s="36">
        <f t="shared" si="12"/>
        <v>77517.051903303873</v>
      </c>
      <c r="S37" s="36"/>
      <c r="T37" s="36"/>
      <c r="U37" s="27"/>
      <c r="V37" s="27"/>
    </row>
    <row r="38" spans="1:23" s="44" customFormat="1" x14ac:dyDescent="0.25">
      <c r="A38" s="5">
        <v>44348</v>
      </c>
      <c r="B38" s="41"/>
      <c r="C38" s="36">
        <f t="shared" si="2"/>
        <v>13577335.710000001</v>
      </c>
      <c r="D38" s="36">
        <f t="shared" si="3"/>
        <v>3897516.0700000003</v>
      </c>
      <c r="E38" s="27">
        <v>968.46</v>
      </c>
      <c r="F38" s="27">
        <v>0</v>
      </c>
      <c r="H38" s="27">
        <f>F16*0.3*0.8+(O16+R16+U16)*0.1*0.8+((E38+F38)*0.8)</f>
        <v>3118787.6240000003</v>
      </c>
      <c r="I38" s="36">
        <f t="shared" si="5"/>
        <v>194924.22650000002</v>
      </c>
      <c r="J38" s="36">
        <f t="shared" si="6"/>
        <v>194924.22650000002</v>
      </c>
      <c r="K38" s="27"/>
      <c r="L38" s="36">
        <f t="shared" si="7"/>
        <v>24280.028142080027</v>
      </c>
      <c r="M38" s="36">
        <f t="shared" si="8"/>
        <v>18463.226674543548</v>
      </c>
      <c r="N38" s="36">
        <f t="shared" si="9"/>
        <v>114476.62311289311</v>
      </c>
      <c r="O38" s="36">
        <f t="shared" si="10"/>
        <v>18940.776993491207</v>
      </c>
      <c r="P38" s="36"/>
      <c r="Q38" s="36">
        <f t="shared" si="11"/>
        <v>143462.50367270954</v>
      </c>
      <c r="R38" s="36">
        <f t="shared" si="12"/>
        <v>70225.29440428254</v>
      </c>
      <c r="S38" s="36"/>
      <c r="T38" s="36"/>
      <c r="U38" s="27"/>
      <c r="V38" s="27"/>
    </row>
    <row r="39" spans="1:23" s="44" customFormat="1" x14ac:dyDescent="0.25">
      <c r="A39" s="5">
        <v>44378</v>
      </c>
      <c r="B39" s="41"/>
      <c r="C39" s="36">
        <f t="shared" si="2"/>
        <v>17256116.228</v>
      </c>
      <c r="D39" s="36">
        <f t="shared" si="3"/>
        <v>4803391.1720000003</v>
      </c>
      <c r="E39" s="27">
        <v>11.34</v>
      </c>
      <c r="F39" s="27">
        <v>7000</v>
      </c>
      <c r="H39" s="27">
        <f t="shared" si="4"/>
        <v>3848322.0096000009</v>
      </c>
      <c r="I39" s="36">
        <f t="shared" si="5"/>
        <v>240520.12560000006</v>
      </c>
      <c r="J39" s="36">
        <f t="shared" si="6"/>
        <v>240520.12560000006</v>
      </c>
      <c r="K39" s="27"/>
      <c r="L39" s="36">
        <f>(F17*0.3*0.1+(O17+R17+U17)*0.1*0.1)*61570/1032881+((E39+F39)*0.1*61570/1032881)</f>
        <v>28674.792416923156</v>
      </c>
      <c r="M39" s="36">
        <f>(F17*0.3*0.1+(O17+R17+U17)*0.1*0.1)*44308/1032881+((E39+F39)*0.1*44308/1032881)</f>
        <v>20635.418262287334</v>
      </c>
      <c r="N39" s="36">
        <f>(F17*0.3*0.1+(O17+R17+U17)*0.1*0.1)*295911/1032881+((E39+F39)*0.1*295911/1032881)</f>
        <v>137813.65111067318</v>
      </c>
      <c r="O39" s="36">
        <f>(F17*0.3*0.1+(O17+R17+U17)*0.1*0.1)*47931/1032881+((E39+F39)*0.1*47931/1032881)</f>
        <v>22322.746066843327</v>
      </c>
      <c r="P39" s="36"/>
      <c r="Q39" s="36">
        <f>(F17*0.3*0.1+(O17+R17+U17)*0.1*0.1)*401310/1032881+((E39+F39)*0.1*401310/1032881)</f>
        <v>186900.77870448973</v>
      </c>
      <c r="R39" s="36">
        <f>(F17*0.3*0.1+(O17+R17+U17)*0.1*0.1)*181851/1032881+((E39+F39)*0.1*181851/1032881)</f>
        <v>84692.864638783372</v>
      </c>
      <c r="S39" s="36"/>
      <c r="T39" s="36"/>
      <c r="U39" s="27"/>
      <c r="V39" s="27"/>
      <c r="W39" s="59"/>
    </row>
    <row r="40" spans="1:23" s="44" customFormat="1" x14ac:dyDescent="0.25">
      <c r="A40" s="5">
        <v>44409</v>
      </c>
      <c r="B40" s="41"/>
      <c r="C40" s="36">
        <f t="shared" si="2"/>
        <v>16776661.626</v>
      </c>
      <c r="D40" s="36">
        <f t="shared" si="3"/>
        <v>4542206.6740000006</v>
      </c>
      <c r="E40" s="27">
        <v>22.85</v>
      </c>
      <c r="F40" s="27">
        <v>0</v>
      </c>
      <c r="H40" s="27">
        <f t="shared" si="4"/>
        <v>3633783.6192000001</v>
      </c>
      <c r="I40" s="36">
        <f t="shared" si="5"/>
        <v>227111.4762</v>
      </c>
      <c r="J40" s="36">
        <f t="shared" si="6"/>
        <v>227111.4762</v>
      </c>
      <c r="K40" s="27"/>
      <c r="L40" s="36">
        <f t="shared" ref="L40:L47" si="13">(F18*0.3*0.1+(O18+R18+U18)*0.1*0.1)*61570/1032881+((E40+F40)*0.1*61570/1032881)</f>
        <v>27076.214180789462</v>
      </c>
      <c r="M40" s="36">
        <f t="shared" ref="M40:M47" si="14">(F18*0.3*0.1+(O18+R18+U18)*0.1*0.1)*44308/1032881+((E40+F40)*0.1*44308/1032881)</f>
        <v>19485.023516687019</v>
      </c>
      <c r="N40" s="36">
        <f t="shared" ref="N40:N47" si="15">(F18*0.3*0.1+(O18+R18+U18)*0.1*0.1)*295911/1032881+((E40+F40)*0.1*295911/1032881)</f>
        <v>130130.73923098246</v>
      </c>
      <c r="O40" s="36">
        <f t="shared" ref="O40:O47" si="16">(F18*0.3*0.1+(O18+R18+U18)*0.1*0.1)*47931/1032881+((E40+F40)*0.1*47931/1032881)</f>
        <v>21078.285234682797</v>
      </c>
      <c r="P40" s="36"/>
      <c r="Q40" s="36">
        <f t="shared" ref="Q40:Q47" si="17">(F18*0.3*0.1+(O18+R18+U18)*0.1*0.1)*401310/1032881+((E40+F40)*0.1*401310/1032881)</f>
        <v>176481.33040267369</v>
      </c>
      <c r="R40" s="36">
        <f t="shared" ref="R40:R47" si="18">(F18*0.3*0.1+(O18+R18+U18)*0.1*0.1)*181851/1032881+((E40+F40)*0.1*181851/1032881)</f>
        <v>79971.359834184579</v>
      </c>
      <c r="S40" s="36"/>
      <c r="T40" s="36"/>
      <c r="U40" s="27"/>
      <c r="V40" s="27"/>
      <c r="W40" s="31"/>
    </row>
    <row r="41" spans="1:23" s="44" customFormat="1" x14ac:dyDescent="0.25">
      <c r="A41" s="5">
        <v>44440</v>
      </c>
      <c r="B41" s="41"/>
      <c r="C41" s="36">
        <f t="shared" si="2"/>
        <v>16858788.446999997</v>
      </c>
      <c r="D41" s="36">
        <f t="shared" si="3"/>
        <v>4260336.6830000002</v>
      </c>
      <c r="E41" s="27">
        <v>10251.33</v>
      </c>
      <c r="F41" s="27">
        <v>35000</v>
      </c>
      <c r="G41" s="33"/>
      <c r="H41" s="27">
        <f t="shared" si="4"/>
        <v>3444470.4103999999</v>
      </c>
      <c r="I41" s="36">
        <f t="shared" si="5"/>
        <v>215279.40065</v>
      </c>
      <c r="J41" s="36">
        <f t="shared" si="6"/>
        <v>215279.40065</v>
      </c>
      <c r="K41" s="27"/>
      <c r="L41" s="36">
        <f t="shared" si="13"/>
        <v>25665.594967901434</v>
      </c>
      <c r="M41" s="36">
        <f t="shared" si="14"/>
        <v>18469.890885784906</v>
      </c>
      <c r="N41" s="36">
        <f t="shared" si="15"/>
        <v>123351.17545146469</v>
      </c>
      <c r="O41" s="36">
        <f t="shared" si="16"/>
        <v>19980.146701420879</v>
      </c>
      <c r="P41" s="36"/>
      <c r="Q41" s="36">
        <f t="shared" si="17"/>
        <v>167286.98906234407</v>
      </c>
      <c r="R41" s="36">
        <f t="shared" si="18"/>
        <v>75805.004231084022</v>
      </c>
      <c r="S41" s="36"/>
      <c r="T41" s="36"/>
      <c r="U41" s="27"/>
      <c r="V41" s="27"/>
    </row>
    <row r="42" spans="1:23" s="44" customFormat="1" x14ac:dyDescent="0.25">
      <c r="A42" s="5">
        <v>44470</v>
      </c>
      <c r="B42" s="41"/>
      <c r="C42" s="36">
        <f t="shared" si="2"/>
        <v>15346852.022</v>
      </c>
      <c r="D42" s="36">
        <f t="shared" si="3"/>
        <v>4238724.8379999995</v>
      </c>
      <c r="E42" s="27">
        <v>22427.58</v>
      </c>
      <c r="F42" s="27">
        <v>0</v>
      </c>
      <c r="G42" s="33"/>
      <c r="H42" s="27">
        <f t="shared" si="4"/>
        <v>3408921.9343999997</v>
      </c>
      <c r="I42" s="36">
        <f t="shared" si="5"/>
        <v>213057.62089999998</v>
      </c>
      <c r="J42" s="36">
        <f t="shared" si="6"/>
        <v>213057.62089999998</v>
      </c>
      <c r="K42" s="27"/>
      <c r="L42" s="36">
        <f t="shared" si="13"/>
        <v>25400.714542745965</v>
      </c>
      <c r="M42" s="36">
        <f t="shared" si="14"/>
        <v>18279.273346759597</v>
      </c>
      <c r="N42" s="36">
        <f t="shared" si="15"/>
        <v>122078.13612243791</v>
      </c>
      <c r="O42" s="36">
        <f t="shared" si="16"/>
        <v>19773.942646554446</v>
      </c>
      <c r="P42" s="36"/>
      <c r="Q42" s="36">
        <f t="shared" si="17"/>
        <v>165560.51247603353</v>
      </c>
      <c r="R42" s="36">
        <f t="shared" si="18"/>
        <v>75022.662665468524</v>
      </c>
      <c r="S42" s="36"/>
      <c r="T42" s="36"/>
      <c r="U42" s="27"/>
      <c r="V42" s="27"/>
    </row>
    <row r="43" spans="1:23" s="44" customFormat="1" x14ac:dyDescent="0.25">
      <c r="A43" s="5">
        <v>44501</v>
      </c>
      <c r="B43" s="41"/>
      <c r="C43" s="36">
        <f t="shared" si="2"/>
        <v>15406653.991999999</v>
      </c>
      <c r="D43" s="36">
        <f t="shared" si="3"/>
        <v>3969824.9679999994</v>
      </c>
      <c r="E43" s="27">
        <v>25944.38</v>
      </c>
      <c r="F43" s="27">
        <v>0</v>
      </c>
      <c r="G43" s="33"/>
      <c r="H43" s="27">
        <f t="shared" si="4"/>
        <v>3196615.4783999999</v>
      </c>
      <c r="I43" s="36">
        <f t="shared" si="5"/>
        <v>199788.46739999999</v>
      </c>
      <c r="J43" s="36">
        <f t="shared" si="6"/>
        <v>199788.46739999999</v>
      </c>
      <c r="K43" s="27"/>
      <c r="L43" s="36">
        <f t="shared" si="13"/>
        <v>23818.766997975563</v>
      </c>
      <c r="M43" s="36">
        <f t="shared" si="14"/>
        <v>17140.846648470051</v>
      </c>
      <c r="N43" s="36">
        <f t="shared" si="15"/>
        <v>114475.15285265466</v>
      </c>
      <c r="O43" s="36">
        <f t="shared" si="16"/>
        <v>18542.428471332903</v>
      </c>
      <c r="P43" s="36"/>
      <c r="Q43" s="36">
        <f t="shared" si="17"/>
        <v>155249.46213996384</v>
      </c>
      <c r="R43" s="36">
        <f t="shared" si="18"/>
        <v>70350.277689602968</v>
      </c>
      <c r="S43" s="36"/>
      <c r="T43" s="36"/>
      <c r="U43" s="27"/>
      <c r="V43" s="27"/>
    </row>
    <row r="44" spans="1:23" s="44" customFormat="1" x14ac:dyDescent="0.25">
      <c r="A44" s="5">
        <v>44531</v>
      </c>
      <c r="B44" s="41"/>
      <c r="C44" s="36">
        <f t="shared" si="2"/>
        <v>14265172.223999999</v>
      </c>
      <c r="D44" s="36">
        <f t="shared" si="3"/>
        <v>3653974.6959999995</v>
      </c>
      <c r="E44" s="27">
        <v>18149.349999999999</v>
      </c>
      <c r="F44" s="27">
        <v>0</v>
      </c>
      <c r="G44" s="33"/>
      <c r="H44" s="27">
        <f t="shared" si="4"/>
        <v>2937699.2367999996</v>
      </c>
      <c r="I44" s="36">
        <f t="shared" si="5"/>
        <v>183606.20229999998</v>
      </c>
      <c r="J44" s="36">
        <f t="shared" si="6"/>
        <v>183606.20229999998</v>
      </c>
      <c r="K44" s="27"/>
      <c r="L44" s="36">
        <f t="shared" si="13"/>
        <v>21889.518493632855</v>
      </c>
      <c r="M44" s="36">
        <f t="shared" si="14"/>
        <v>15752.489612081932</v>
      </c>
      <c r="N44" s="36">
        <f t="shared" si="15"/>
        <v>105203.00969578352</v>
      </c>
      <c r="O44" s="36">
        <f t="shared" si="16"/>
        <v>17040.547521817709</v>
      </c>
      <c r="P44" s="36"/>
      <c r="Q44" s="36">
        <f t="shared" si="17"/>
        <v>142674.72253824593</v>
      </c>
      <c r="R44" s="36">
        <f t="shared" si="18"/>
        <v>64652.11673843801</v>
      </c>
      <c r="S44" s="36"/>
      <c r="T44" s="36"/>
      <c r="U44" s="33"/>
      <c r="V44" s="33"/>
    </row>
    <row r="45" spans="1:23" s="44" customFormat="1" x14ac:dyDescent="0.25">
      <c r="A45" s="5">
        <v>44562</v>
      </c>
      <c r="B45" s="41"/>
      <c r="C45" s="36">
        <f t="shared" si="2"/>
        <v>12970053.792999998</v>
      </c>
      <c r="D45" s="36">
        <f t="shared" si="3"/>
        <v>3250137.6969999988</v>
      </c>
      <c r="E45" s="27">
        <v>22132.36</v>
      </c>
      <c r="F45" s="27">
        <v>0</v>
      </c>
      <c r="G45" s="33"/>
      <c r="H45" s="27">
        <f t="shared" si="4"/>
        <v>2617816.0455999989</v>
      </c>
      <c r="I45" s="36">
        <f t="shared" si="5"/>
        <v>163613.50284999993</v>
      </c>
      <c r="J45" s="36">
        <f t="shared" si="6"/>
        <v>163613.50284999993</v>
      </c>
      <c r="K45" s="27"/>
      <c r="L45" s="36">
        <f t="shared" si="13"/>
        <v>19505.990274725737</v>
      </c>
      <c r="M45" s="36">
        <f t="shared" si="14"/>
        <v>14037.216454321066</v>
      </c>
      <c r="N45" s="36">
        <f t="shared" si="15"/>
        <v>93747.557060002728</v>
      </c>
      <c r="O45" s="36">
        <f t="shared" si="16"/>
        <v>15185.019000452805</v>
      </c>
      <c r="P45" s="36"/>
      <c r="Q45" s="36">
        <f t="shared" si="17"/>
        <v>127139.01181013782</v>
      </c>
      <c r="R45" s="36">
        <f t="shared" si="18"/>
        <v>57612.211100359746</v>
      </c>
      <c r="S45" s="60"/>
      <c r="T45" s="60"/>
      <c r="U45" s="33"/>
      <c r="V45" s="33"/>
    </row>
    <row r="46" spans="1:23" s="44" customFormat="1" x14ac:dyDescent="0.25">
      <c r="A46" s="5">
        <v>44593</v>
      </c>
      <c r="B46" s="41"/>
      <c r="C46" s="36">
        <f t="shared" si="2"/>
        <v>13808000.98</v>
      </c>
      <c r="D46" s="36">
        <f t="shared" si="3"/>
        <v>3670014.88</v>
      </c>
      <c r="E46" s="27">
        <v>19951.04</v>
      </c>
      <c r="F46" s="27">
        <v>50000</v>
      </c>
      <c r="G46" s="33"/>
      <c r="H46" s="27">
        <f t="shared" si="4"/>
        <v>2991972.736</v>
      </c>
      <c r="I46" s="36">
        <f t="shared" si="5"/>
        <v>186998.296</v>
      </c>
      <c r="J46" s="36">
        <f t="shared" si="6"/>
        <v>186998.296</v>
      </c>
      <c r="K46" s="27"/>
      <c r="L46" s="36">
        <f t="shared" si="13"/>
        <v>22293.923665398048</v>
      </c>
      <c r="M46" s="36">
        <f t="shared" si="14"/>
        <v>16043.514207673488</v>
      </c>
      <c r="N46" s="36">
        <f t="shared" si="15"/>
        <v>107146.61760194255</v>
      </c>
      <c r="O46" s="36">
        <f t="shared" si="16"/>
        <v>17355.368770605714</v>
      </c>
      <c r="P46" s="27"/>
      <c r="Q46" s="36">
        <f t="shared" si="17"/>
        <v>145310.61403542131</v>
      </c>
      <c r="R46" s="36">
        <f t="shared" si="18"/>
        <v>65846.553718958923</v>
      </c>
      <c r="S46" s="60"/>
      <c r="T46" s="60"/>
      <c r="U46" s="33"/>
      <c r="V46" s="33"/>
    </row>
    <row r="47" spans="1:23" s="44" customFormat="1" x14ac:dyDescent="0.25">
      <c r="A47" s="5">
        <v>44621</v>
      </c>
      <c r="B47" s="41"/>
      <c r="C47" s="36">
        <f t="shared" si="2"/>
        <v>12660714.696000002</v>
      </c>
      <c r="D47" s="36">
        <f t="shared" si="3"/>
        <v>3571749.1840000008</v>
      </c>
      <c r="E47" s="27">
        <v>83450.709999999977</v>
      </c>
      <c r="F47" s="27">
        <v>5467254.0199999996</v>
      </c>
      <c r="G47" s="33" t="s">
        <v>79</v>
      </c>
      <c r="H47" s="27">
        <f t="shared" si="4"/>
        <v>7297963.1312000006</v>
      </c>
      <c r="I47" s="36">
        <f t="shared" si="5"/>
        <v>456122.69570000004</v>
      </c>
      <c r="J47" s="36">
        <f t="shared" si="6"/>
        <v>456122.69570000004</v>
      </c>
      <c r="K47" s="27"/>
      <c r="L47" s="36">
        <f t="shared" si="13"/>
        <v>54378.91562386955</v>
      </c>
      <c r="M47" s="36">
        <f t="shared" si="14"/>
        <v>39133.035463089363</v>
      </c>
      <c r="N47" s="36">
        <f t="shared" si="15"/>
        <v>261349.99677074648</v>
      </c>
      <c r="O47" s="36">
        <f t="shared" si="16"/>
        <v>42332.886223285546</v>
      </c>
      <c r="P47" s="27"/>
      <c r="Q47" s="36">
        <f t="shared" si="17"/>
        <v>354438.89278894092</v>
      </c>
      <c r="R47" s="36">
        <f t="shared" si="18"/>
        <v>160611.66453006823</v>
      </c>
      <c r="S47" s="60"/>
      <c r="T47" s="60"/>
      <c r="U47" s="33"/>
      <c r="V47" s="33"/>
    </row>
    <row r="48" spans="1:23" s="44" customFormat="1" ht="15.75" thickBot="1" x14ac:dyDescent="0.3">
      <c r="A48" s="5" t="s">
        <v>28</v>
      </c>
      <c r="B48" s="41"/>
      <c r="C48" s="61">
        <f>SUM(C36:C47)</f>
        <v>174219787.11699998</v>
      </c>
      <c r="D48" s="61">
        <f t="shared" ref="D48:E48" si="19">SUM(D36:D47)</f>
        <v>47649104.572999999</v>
      </c>
      <c r="E48" s="61">
        <f t="shared" si="19"/>
        <v>206321.14999999997</v>
      </c>
      <c r="F48" s="34">
        <f>SUM(F36:F47)</f>
        <v>5559454.0199999996</v>
      </c>
      <c r="G48" s="39"/>
      <c r="H48" s="61">
        <f>SUM(H36:H47)</f>
        <v>42731903.794399999</v>
      </c>
      <c r="I48" s="61">
        <f t="shared" ref="I48:R48" si="20">SUM(I36:I47)</f>
        <v>2670743.9871499999</v>
      </c>
      <c r="J48" s="61">
        <f t="shared" si="20"/>
        <v>2670743.9871499999</v>
      </c>
      <c r="K48" s="61"/>
      <c r="L48" s="61">
        <f t="shared" si="20"/>
        <v>321528.76107471372</v>
      </c>
      <c r="M48" s="61">
        <f t="shared" si="20"/>
        <v>234354.40823736455</v>
      </c>
      <c r="N48" s="61">
        <f t="shared" si="20"/>
        <v>1538651.6251018643</v>
      </c>
      <c r="O48" s="61">
        <f t="shared" si="20"/>
        <v>250421.41156727888</v>
      </c>
      <c r="P48" s="61"/>
      <c r="Q48" s="61">
        <f t="shared" si="20"/>
        <v>2051336.7368537937</v>
      </c>
      <c r="R48" s="61">
        <f t="shared" si="20"/>
        <v>945195.03146498534</v>
      </c>
      <c r="S48" s="39"/>
      <c r="T48" s="39"/>
      <c r="U48" s="39"/>
      <c r="V48" s="39"/>
      <c r="W48" s="59"/>
    </row>
    <row r="49" spans="1:24" s="44" customFormat="1" ht="15.75" thickTop="1" x14ac:dyDescent="0.25">
      <c r="A49" s="41"/>
      <c r="B49" s="41"/>
      <c r="C49" s="39"/>
      <c r="D49" s="42"/>
      <c r="E49" s="42"/>
      <c r="F49" s="42"/>
      <c r="G49" s="42"/>
      <c r="H49" s="42"/>
      <c r="I49" s="42"/>
      <c r="L49" s="42"/>
      <c r="M49" s="42"/>
      <c r="N49" s="42"/>
      <c r="O49" s="42"/>
      <c r="Q49" s="42"/>
    </row>
    <row r="50" spans="1:24" s="44" customFormat="1" x14ac:dyDescent="0.25">
      <c r="A50" s="41"/>
      <c r="B50" s="41"/>
      <c r="C50" s="42">
        <f>C48/W26</f>
        <v>0.78523755984874</v>
      </c>
      <c r="D50" s="42">
        <f>D48/W26</f>
        <v>0.21476244015125995</v>
      </c>
      <c r="E50" s="42"/>
      <c r="F50" s="42"/>
      <c r="G50" s="42"/>
      <c r="H50" s="42">
        <f>H48/($D$48+$E$48+$F$48)</f>
        <v>0.79999999999999993</v>
      </c>
      <c r="I50" s="42">
        <f t="shared" ref="I50:R50" si="21">I48/($D$48+$E$48+$F$48)</f>
        <v>4.9999999999999996E-2</v>
      </c>
      <c r="J50" s="42">
        <f t="shared" si="21"/>
        <v>4.9999999999999996E-2</v>
      </c>
      <c r="K50" s="42"/>
      <c r="L50" s="42">
        <f t="shared" si="21"/>
        <v>6.0194605439854044E-3</v>
      </c>
      <c r="M50" s="42">
        <f t="shared" si="21"/>
        <v>4.387436784748666E-3</v>
      </c>
      <c r="N50" s="42">
        <f t="shared" si="21"/>
        <v>2.8805674233564178E-2</v>
      </c>
      <c r="O50" s="42">
        <f t="shared" si="21"/>
        <v>4.6882331809442387E-3</v>
      </c>
      <c r="P50" s="42"/>
      <c r="Q50" s="42">
        <f t="shared" si="21"/>
        <v>3.8403844522791809E-2</v>
      </c>
      <c r="R50" s="42">
        <f t="shared" si="21"/>
        <v>1.7695350733965713E-2</v>
      </c>
      <c r="S50" s="42"/>
      <c r="T50" s="42"/>
      <c r="U50" s="42"/>
      <c r="V50" s="42"/>
    </row>
    <row r="51" spans="1:24" s="44" customFormat="1" x14ac:dyDescent="0.25">
      <c r="A51" s="41"/>
      <c r="B51" s="41"/>
      <c r="C51" s="42"/>
      <c r="D51" s="42"/>
      <c r="F51" s="39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X51" s="59"/>
    </row>
    <row r="52" spans="1:24" s="44" customFormat="1" x14ac:dyDescent="0.25">
      <c r="A52" s="62" t="s">
        <v>55</v>
      </c>
      <c r="B52" s="41"/>
      <c r="C52" s="42"/>
      <c r="D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X52" s="59"/>
    </row>
    <row r="53" spans="1:24" s="46" customFormat="1" x14ac:dyDescent="0.25">
      <c r="A53" s="63" t="s">
        <v>77</v>
      </c>
      <c r="B53" s="64"/>
      <c r="C53" s="65"/>
      <c r="D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X53" s="59"/>
    </row>
    <row r="54" spans="1:24" s="46" customFormat="1" x14ac:dyDescent="0.25">
      <c r="A54" s="63" t="s">
        <v>57</v>
      </c>
      <c r="B54" s="64"/>
      <c r="C54" s="65"/>
      <c r="D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</row>
    <row r="55" spans="1:24" s="46" customFormat="1" x14ac:dyDescent="0.25">
      <c r="A55" s="63"/>
      <c r="B55" s="64"/>
      <c r="C55" s="65"/>
      <c r="D55" s="65"/>
      <c r="H55" s="66"/>
      <c r="I55" s="66"/>
      <c r="J55" s="66"/>
      <c r="K55" s="65"/>
      <c r="L55" s="67"/>
      <c r="M55" s="67"/>
      <c r="N55" s="67"/>
      <c r="O55" s="67"/>
      <c r="P55" s="65"/>
      <c r="Q55" s="67"/>
      <c r="R55" s="67"/>
      <c r="S55" s="67"/>
      <c r="T55" s="67"/>
      <c r="U55" s="68"/>
      <c r="V55" s="68"/>
      <c r="W55" s="68"/>
    </row>
    <row r="56" spans="1:24" s="46" customFormat="1" ht="15" customHeight="1" x14ac:dyDescent="0.25">
      <c r="A56" s="63" t="s">
        <v>58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1:24" s="46" customFormat="1" x14ac:dyDescent="0.25">
      <c r="B57" s="64"/>
      <c r="C57" s="65"/>
      <c r="D57" s="7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</row>
    <row r="58" spans="1:24" ht="15" customHeight="1" x14ac:dyDescent="0.25">
      <c r="A58" s="71" t="s">
        <v>59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24" x14ac:dyDescent="0.25">
      <c r="A59" s="71" t="s">
        <v>60</v>
      </c>
    </row>
    <row r="61" spans="1:24" x14ac:dyDescent="0.25">
      <c r="A61" s="71" t="s">
        <v>61</v>
      </c>
    </row>
    <row r="62" spans="1:24" x14ac:dyDescent="0.25">
      <c r="A62" s="71"/>
      <c r="B62" s="72"/>
      <c r="C62" s="73"/>
      <c r="D62" s="73"/>
      <c r="E62" s="73"/>
      <c r="F62" s="73"/>
      <c r="G62" s="73"/>
      <c r="H62" s="73"/>
      <c r="I62" s="74"/>
      <c r="J62" s="73"/>
      <c r="K62" s="73"/>
      <c r="L62" s="73"/>
      <c r="M62" s="73"/>
      <c r="N62" s="73"/>
      <c r="O62" s="73"/>
    </row>
    <row r="63" spans="1:24" x14ac:dyDescent="0.25">
      <c r="A63" s="71" t="s">
        <v>71</v>
      </c>
    </row>
    <row r="65" spans="1:1" x14ac:dyDescent="0.25">
      <c r="A65" s="83" t="s">
        <v>72</v>
      </c>
    </row>
  </sheetData>
  <mergeCells count="13">
    <mergeCell ref="L34:R34"/>
    <mergeCell ref="A1:W1"/>
    <mergeCell ref="A2:W2"/>
    <mergeCell ref="A3:W3"/>
    <mergeCell ref="A4:W4"/>
    <mergeCell ref="A5:W5"/>
    <mergeCell ref="A8:W8"/>
    <mergeCell ref="C10:I10"/>
    <mergeCell ref="L10:O10"/>
    <mergeCell ref="Q10:R10"/>
    <mergeCell ref="A30:W30"/>
    <mergeCell ref="H32:R32"/>
    <mergeCell ref="T10:U10"/>
  </mergeCells>
  <hyperlinks>
    <hyperlink ref="A4" r:id="rId1" xr:uid="{3CB6EDD7-468D-4204-B6DD-2EDCF1E86E11}"/>
  </hyperlinks>
  <printOptions horizontalCentered="1" verticalCentered="1"/>
  <pageMargins left="0" right="0" top="0.25" bottom="0.25" header="0.3" footer="0.3"/>
  <pageSetup scale="5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9FBF-DD27-4A0E-97D1-73C5E0916F4F}">
  <sheetPr>
    <pageSetUpPr fitToPage="1"/>
  </sheetPr>
  <dimension ref="A1:W65"/>
  <sheetViews>
    <sheetView zoomScale="90" zoomScaleNormal="90" workbookViewId="0">
      <selection activeCell="D41" sqref="D41"/>
    </sheetView>
  </sheetViews>
  <sheetFormatPr defaultRowHeight="15" x14ac:dyDescent="0.25"/>
  <cols>
    <col min="1" max="1" width="9.28515625" style="5" customWidth="1"/>
    <col min="2" max="2" width="1.7109375" style="5" customWidth="1"/>
    <col min="3" max="3" width="15.5703125" style="29" bestFit="1" customWidth="1"/>
    <col min="4" max="4" width="13.5703125" style="29" customWidth="1"/>
    <col min="5" max="5" width="15.85546875" style="29" customWidth="1"/>
    <col min="6" max="6" width="18.140625" style="29" customWidth="1"/>
    <col min="7" max="7" width="1.85546875" style="29" customWidth="1"/>
    <col min="8" max="8" width="15" style="29" customWidth="1"/>
    <col min="9" max="9" width="11.7109375" style="31" customWidth="1"/>
    <col min="10" max="10" width="11.7109375" style="29" customWidth="1"/>
    <col min="11" max="11" width="1.140625" style="29" customWidth="1"/>
    <col min="12" max="12" width="14" style="29" customWidth="1"/>
    <col min="13" max="13" width="13.85546875" style="29" customWidth="1"/>
    <col min="14" max="14" width="12.7109375" style="29" bestFit="1" customWidth="1"/>
    <col min="15" max="15" width="12.42578125" style="29" customWidth="1"/>
    <col min="16" max="16" width="2" style="29" customWidth="1"/>
    <col min="17" max="17" width="15" style="29" customWidth="1"/>
    <col min="18" max="18" width="12.140625" style="29" customWidth="1"/>
    <col min="19" max="19" width="2" style="29" customWidth="1"/>
    <col min="20" max="20" width="12.140625" style="1" customWidth="1"/>
    <col min="21" max="21" width="2" style="1" customWidth="1"/>
    <col min="22" max="22" width="16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3" ht="18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3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3" s="2" customFormat="1" ht="15.75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3" s="3" customFormat="1" ht="14.25" customHeight="1" x14ac:dyDescent="0.25">
      <c r="A4" s="98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3" s="3" customForma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/>
    </row>
    <row r="6" spans="1:23" s="2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23" s="9" customFormat="1" ht="14.25" customHeight="1" x14ac:dyDescent="0.25">
      <c r="A8" s="93" t="s">
        <v>74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5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8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23" s="14" customFormat="1" ht="28.9" customHeight="1" x14ac:dyDescent="0.2">
      <c r="A10" s="10"/>
      <c r="B10" s="10"/>
      <c r="C10" s="102" t="s">
        <v>6</v>
      </c>
      <c r="D10" s="103"/>
      <c r="E10" s="103"/>
      <c r="F10" s="103"/>
      <c r="G10" s="103"/>
      <c r="H10" s="103"/>
      <c r="I10" s="103"/>
      <c r="J10" s="11"/>
      <c r="K10" s="12"/>
      <c r="L10" s="102" t="s">
        <v>7</v>
      </c>
      <c r="M10" s="103"/>
      <c r="N10" s="103"/>
      <c r="O10" s="104"/>
      <c r="P10" s="13"/>
      <c r="Q10" s="102" t="s">
        <v>8</v>
      </c>
      <c r="R10" s="104"/>
      <c r="S10" s="77"/>
      <c r="T10" s="80" t="s">
        <v>67</v>
      </c>
      <c r="U10" s="79"/>
    </row>
    <row r="11" spans="1:23" s="19" customFormat="1" ht="12" x14ac:dyDescent="0.2">
      <c r="A11" s="15"/>
      <c r="B11" s="15"/>
      <c r="C11" s="16"/>
      <c r="D11" s="17" t="s">
        <v>9</v>
      </c>
      <c r="E11" s="16"/>
      <c r="F11" s="16"/>
      <c r="G11" s="16"/>
      <c r="H11" s="18" t="s">
        <v>10</v>
      </c>
      <c r="I11" s="16"/>
      <c r="J11" s="16"/>
      <c r="K11" s="16"/>
      <c r="L11" s="17" t="s">
        <v>11</v>
      </c>
      <c r="M11" s="17"/>
      <c r="N11" s="17" t="s">
        <v>9</v>
      </c>
      <c r="O11" s="17" t="s">
        <v>11</v>
      </c>
      <c r="Q11" s="17" t="s">
        <v>11</v>
      </c>
      <c r="R11" s="17" t="s">
        <v>11</v>
      </c>
      <c r="S11" s="17"/>
      <c r="T11" s="22" t="s">
        <v>68</v>
      </c>
      <c r="U11" s="22"/>
      <c r="V11" s="17" t="s">
        <v>11</v>
      </c>
    </row>
    <row r="12" spans="1:23" s="22" customFormat="1" ht="12" x14ac:dyDescent="0.2">
      <c r="A12" s="20"/>
      <c r="B12" s="20"/>
      <c r="C12" s="17" t="s">
        <v>12</v>
      </c>
      <c r="D12" s="21" t="s">
        <v>13</v>
      </c>
      <c r="E12" s="17" t="s">
        <v>12</v>
      </c>
      <c r="F12" s="17" t="s">
        <v>14</v>
      </c>
      <c r="G12" s="17"/>
      <c r="H12" s="18" t="s">
        <v>15</v>
      </c>
      <c r="I12" s="17" t="s">
        <v>16</v>
      </c>
      <c r="J12" s="17"/>
      <c r="K12" s="17"/>
      <c r="L12" s="22" t="s">
        <v>10</v>
      </c>
      <c r="M12" s="17" t="s">
        <v>17</v>
      </c>
      <c r="N12" s="17" t="s">
        <v>17</v>
      </c>
      <c r="O12" s="17" t="s">
        <v>17</v>
      </c>
      <c r="Q12" s="22" t="s">
        <v>10</v>
      </c>
      <c r="R12" s="17" t="s">
        <v>18</v>
      </c>
      <c r="S12" s="17"/>
      <c r="T12" s="22" t="s">
        <v>69</v>
      </c>
      <c r="V12" s="17" t="s">
        <v>11</v>
      </c>
    </row>
    <row r="13" spans="1:23" s="22" customFormat="1" ht="12" x14ac:dyDescent="0.2">
      <c r="A13" s="23" t="s">
        <v>19</v>
      </c>
      <c r="B13" s="23"/>
      <c r="C13" s="24" t="s">
        <v>20</v>
      </c>
      <c r="D13" s="24" t="s">
        <v>12</v>
      </c>
      <c r="E13" s="24" t="s">
        <v>21</v>
      </c>
      <c r="F13" s="24" t="s">
        <v>22</v>
      </c>
      <c r="G13" s="24"/>
      <c r="H13" s="25" t="s">
        <v>23</v>
      </c>
      <c r="I13" s="24" t="s">
        <v>24</v>
      </c>
      <c r="J13" s="21"/>
      <c r="K13" s="21"/>
      <c r="L13" s="24" t="s">
        <v>25</v>
      </c>
      <c r="M13" s="24" t="s">
        <v>26</v>
      </c>
      <c r="N13" s="24" t="s">
        <v>12</v>
      </c>
      <c r="O13" s="24" t="s">
        <v>22</v>
      </c>
      <c r="P13" s="26"/>
      <c r="Q13" s="24" t="s">
        <v>8</v>
      </c>
      <c r="R13" s="24" t="s">
        <v>22</v>
      </c>
      <c r="S13" s="21"/>
      <c r="T13" s="78" t="s">
        <v>22</v>
      </c>
      <c r="U13" s="26"/>
      <c r="V13" s="24" t="s">
        <v>27</v>
      </c>
    </row>
    <row r="14" spans="1:23" x14ac:dyDescent="0.25">
      <c r="A14" s="5">
        <v>43922</v>
      </c>
      <c r="C14" s="27"/>
      <c r="D14" s="27"/>
      <c r="E14" s="27"/>
      <c r="F14" s="27"/>
      <c r="G14" s="27"/>
      <c r="H14" s="28"/>
      <c r="I14" s="27"/>
      <c r="J14" s="27"/>
      <c r="L14" s="30"/>
      <c r="M14" s="27"/>
      <c r="N14" s="27"/>
      <c r="O14" s="27"/>
      <c r="Q14" s="31"/>
      <c r="T14" s="29"/>
      <c r="V14" s="27">
        <f>R14+O14+F14+T14</f>
        <v>0</v>
      </c>
    </row>
    <row r="15" spans="1:23" x14ac:dyDescent="0.25">
      <c r="A15" s="5">
        <v>43952</v>
      </c>
      <c r="C15" s="27"/>
      <c r="D15" s="27"/>
      <c r="E15" s="27"/>
      <c r="F15" s="27"/>
      <c r="G15" s="27"/>
      <c r="H15" s="28"/>
      <c r="I15" s="27"/>
      <c r="J15" s="27"/>
      <c r="K15" s="32"/>
      <c r="L15" s="32"/>
      <c r="M15" s="27"/>
      <c r="N15" s="27"/>
      <c r="O15" s="27"/>
      <c r="P15" s="32"/>
      <c r="Q15" s="31"/>
      <c r="T15" s="29"/>
      <c r="U15" s="32"/>
      <c r="V15" s="27">
        <f t="shared" ref="V15:V25" si="0">R15+O15+F15+T15</f>
        <v>0</v>
      </c>
    </row>
    <row r="16" spans="1:23" x14ac:dyDescent="0.25">
      <c r="A16" s="5">
        <v>43983</v>
      </c>
      <c r="C16" s="27"/>
      <c r="D16" s="27"/>
      <c r="E16" s="27"/>
      <c r="F16" s="27"/>
      <c r="G16" s="27"/>
      <c r="H16" s="28"/>
      <c r="I16" s="27"/>
      <c r="J16" s="27"/>
      <c r="K16" s="32"/>
      <c r="L16" s="32"/>
      <c r="M16" s="27"/>
      <c r="N16" s="27"/>
      <c r="O16" s="27"/>
      <c r="P16" s="32"/>
      <c r="Q16" s="31"/>
      <c r="T16" s="29"/>
      <c r="U16" s="32"/>
      <c r="V16" s="27">
        <f t="shared" si="0"/>
        <v>0</v>
      </c>
    </row>
    <row r="17" spans="1:22" x14ac:dyDescent="0.25">
      <c r="A17" s="5">
        <v>44013</v>
      </c>
      <c r="C17" s="27"/>
      <c r="D17" s="27"/>
      <c r="E17" s="27"/>
      <c r="F17" s="27"/>
      <c r="G17" s="33"/>
      <c r="H17" s="28"/>
      <c r="I17" s="27"/>
      <c r="J17" s="27"/>
      <c r="K17" s="33"/>
      <c r="L17" s="32"/>
      <c r="M17" s="27"/>
      <c r="N17" s="27"/>
      <c r="O17" s="27"/>
      <c r="P17" s="33"/>
      <c r="Q17" s="31"/>
      <c r="T17" s="29"/>
      <c r="U17" s="33"/>
      <c r="V17" s="27">
        <f t="shared" si="0"/>
        <v>0</v>
      </c>
    </row>
    <row r="18" spans="1:22" x14ac:dyDescent="0.25">
      <c r="A18" s="5">
        <v>44044</v>
      </c>
      <c r="C18" s="27"/>
      <c r="D18" s="27"/>
      <c r="E18" s="27"/>
      <c r="F18" s="27"/>
      <c r="G18" s="33"/>
      <c r="H18" s="28"/>
      <c r="I18" s="27"/>
      <c r="J18" s="27"/>
      <c r="K18" s="33"/>
      <c r="L18" s="32"/>
      <c r="M18" s="27"/>
      <c r="N18" s="27"/>
      <c r="O18" s="27"/>
      <c r="P18" s="33"/>
      <c r="Q18" s="31"/>
      <c r="T18" s="29"/>
      <c r="U18" s="33"/>
      <c r="V18" s="27">
        <f t="shared" si="0"/>
        <v>0</v>
      </c>
    </row>
    <row r="19" spans="1:22" x14ac:dyDescent="0.25">
      <c r="A19" s="5">
        <v>44075</v>
      </c>
      <c r="C19" s="27">
        <v>83435987.530000001</v>
      </c>
      <c r="D19" s="27">
        <v>655230.36</v>
      </c>
      <c r="E19" s="27">
        <v>75869636.430000007</v>
      </c>
      <c r="F19" s="27">
        <v>6911120.7400000002</v>
      </c>
      <c r="G19" s="33"/>
      <c r="H19" s="28">
        <v>832.91</v>
      </c>
      <c r="I19" s="27">
        <f>F19/H19/22</f>
        <v>377.16182038657462</v>
      </c>
      <c r="J19" s="27"/>
      <c r="K19" s="33"/>
      <c r="L19" s="85">
        <v>33</v>
      </c>
      <c r="M19" s="27">
        <v>12073744</v>
      </c>
      <c r="N19" s="27">
        <v>48275</v>
      </c>
      <c r="O19" s="27">
        <v>2535474.25</v>
      </c>
      <c r="P19" s="33"/>
      <c r="Q19" s="31">
        <v>0</v>
      </c>
      <c r="R19" s="29">
        <v>0</v>
      </c>
      <c r="T19" s="29">
        <v>285295.09999999998</v>
      </c>
      <c r="U19" s="33"/>
      <c r="V19" s="27">
        <f t="shared" si="0"/>
        <v>9731890.0899999999</v>
      </c>
    </row>
    <row r="20" spans="1:22" x14ac:dyDescent="0.25">
      <c r="A20" s="5">
        <v>44105</v>
      </c>
      <c r="C20" s="27">
        <v>124067324.95</v>
      </c>
      <c r="D20" s="27">
        <v>2465328.25</v>
      </c>
      <c r="E20" s="27">
        <v>112723973.63</v>
      </c>
      <c r="F20" s="27">
        <v>8878023.0700000003</v>
      </c>
      <c r="G20" s="33"/>
      <c r="H20" s="28">
        <v>1121</v>
      </c>
      <c r="I20" s="27">
        <f>F20/H20/31</f>
        <v>255.47532646542547</v>
      </c>
      <c r="J20" s="27"/>
      <c r="K20" s="33"/>
      <c r="L20" s="85">
        <v>47.8</v>
      </c>
      <c r="M20" s="27">
        <v>24133264.75</v>
      </c>
      <c r="N20" s="27">
        <v>112750</v>
      </c>
      <c r="O20" s="27">
        <v>4411641.5</v>
      </c>
      <c r="P20" s="33"/>
      <c r="Q20" s="31">
        <v>0</v>
      </c>
      <c r="R20" s="29">
        <v>0</v>
      </c>
      <c r="T20" s="29">
        <v>470076.22</v>
      </c>
      <c r="U20" s="33"/>
      <c r="V20" s="27">
        <f t="shared" si="0"/>
        <v>13759740.790000001</v>
      </c>
    </row>
    <row r="21" spans="1:22" x14ac:dyDescent="0.25">
      <c r="A21" s="5">
        <v>44136</v>
      </c>
      <c r="C21" s="27">
        <v>101882577.58</v>
      </c>
      <c r="D21" s="27">
        <v>2282567.7599999998</v>
      </c>
      <c r="E21" s="27">
        <v>92799858.140000001</v>
      </c>
      <c r="F21" s="27">
        <v>6800151.6799999997</v>
      </c>
      <c r="G21" s="33"/>
      <c r="H21" s="28">
        <v>1333</v>
      </c>
      <c r="I21" s="27">
        <f>F21/H21/30</f>
        <v>170.04630357589397</v>
      </c>
      <c r="J21" s="27"/>
      <c r="K21" s="33"/>
      <c r="L21" s="85">
        <v>50.9</v>
      </c>
      <c r="M21" s="27">
        <v>22620207.280000001</v>
      </c>
      <c r="N21" s="27">
        <v>89325</v>
      </c>
      <c r="O21" s="27">
        <v>3537560.78</v>
      </c>
      <c r="P21" s="33"/>
      <c r="Q21" s="31">
        <v>0</v>
      </c>
      <c r="R21" s="29">
        <v>0</v>
      </c>
      <c r="T21" s="29">
        <v>274323.58</v>
      </c>
      <c r="U21" s="33"/>
      <c r="V21" s="27">
        <f t="shared" si="0"/>
        <v>10612036.039999999</v>
      </c>
    </row>
    <row r="22" spans="1:22" x14ac:dyDescent="0.25">
      <c r="A22" s="5">
        <v>44166</v>
      </c>
      <c r="C22" s="27">
        <v>97370120.060000002</v>
      </c>
      <c r="D22" s="27">
        <v>2265042.25</v>
      </c>
      <c r="E22" s="27">
        <v>89202276.739999995</v>
      </c>
      <c r="F22" s="27">
        <v>5902801.0700000003</v>
      </c>
      <c r="G22" s="33"/>
      <c r="H22" s="28">
        <v>1433.87</v>
      </c>
      <c r="I22" s="27">
        <f>F22/H22/31</f>
        <v>132.79651414837852</v>
      </c>
      <c r="J22" s="27"/>
      <c r="K22" s="33"/>
      <c r="L22" s="85">
        <v>56.58</v>
      </c>
      <c r="M22" s="27">
        <v>28606006.75</v>
      </c>
      <c r="N22" s="27">
        <v>158345</v>
      </c>
      <c r="O22" s="27">
        <v>4107662.75</v>
      </c>
      <c r="P22" s="32"/>
      <c r="Q22" s="31">
        <v>0</v>
      </c>
      <c r="R22" s="29">
        <v>0</v>
      </c>
      <c r="T22" s="29">
        <v>108947.58</v>
      </c>
      <c r="U22" s="32"/>
      <c r="V22" s="27">
        <f t="shared" si="0"/>
        <v>10119411.4</v>
      </c>
    </row>
    <row r="23" spans="1:22" x14ac:dyDescent="0.25">
      <c r="A23" s="5">
        <v>44197</v>
      </c>
      <c r="C23" s="27">
        <v>113329501.38</v>
      </c>
      <c r="D23" s="27">
        <v>2702713.18</v>
      </c>
      <c r="E23" s="27">
        <v>102844390.45</v>
      </c>
      <c r="F23" s="27">
        <v>7782397.75</v>
      </c>
      <c r="G23" s="33"/>
      <c r="H23" s="28">
        <v>1453</v>
      </c>
      <c r="I23" s="27">
        <f>F23/H23/31</f>
        <v>172.77707412916544</v>
      </c>
      <c r="J23" s="27"/>
      <c r="K23" s="33"/>
      <c r="L23" s="85">
        <v>56.58</v>
      </c>
      <c r="M23" s="27">
        <v>24405359</v>
      </c>
      <c r="N23" s="27">
        <v>145875</v>
      </c>
      <c r="O23" s="27">
        <v>3324894.5</v>
      </c>
      <c r="P23" s="33"/>
      <c r="Q23" s="31">
        <v>0</v>
      </c>
      <c r="R23" s="29">
        <v>0</v>
      </c>
      <c r="T23" s="29">
        <v>479556.66</v>
      </c>
      <c r="U23" s="33"/>
      <c r="V23" s="27">
        <f t="shared" si="0"/>
        <v>11586848.91</v>
      </c>
    </row>
    <row r="24" spans="1:22" x14ac:dyDescent="0.25">
      <c r="A24" s="5">
        <v>44228</v>
      </c>
      <c r="C24" s="27">
        <v>97433391.680000007</v>
      </c>
      <c r="D24" s="27">
        <v>1944114.19</v>
      </c>
      <c r="E24" s="27">
        <v>88445051.670000002</v>
      </c>
      <c r="F24" s="27">
        <v>7044225.8200000003</v>
      </c>
      <c r="G24" s="33"/>
      <c r="H24" s="28">
        <v>1458</v>
      </c>
      <c r="I24" s="27">
        <f>F24/H24/28</f>
        <v>172.5510929845189</v>
      </c>
      <c r="J24" s="27"/>
      <c r="K24" s="33"/>
      <c r="L24" s="85">
        <v>52.42</v>
      </c>
      <c r="M24" s="27">
        <v>23567344</v>
      </c>
      <c r="N24" s="27">
        <v>138620</v>
      </c>
      <c r="O24" s="27">
        <v>3085635.75</v>
      </c>
      <c r="P24" s="33"/>
      <c r="Q24" s="31">
        <v>0</v>
      </c>
      <c r="R24" s="29">
        <v>0</v>
      </c>
      <c r="T24" s="27">
        <v>157097.59</v>
      </c>
      <c r="U24" s="33"/>
      <c r="V24" s="27">
        <f t="shared" si="0"/>
        <v>10286959.16</v>
      </c>
    </row>
    <row r="25" spans="1:22" x14ac:dyDescent="0.25">
      <c r="A25" s="5">
        <v>44256</v>
      </c>
      <c r="C25" s="27">
        <v>121567041.73</v>
      </c>
      <c r="D25" s="27">
        <v>1992955.7</v>
      </c>
      <c r="E25" s="27">
        <v>110186722.44</v>
      </c>
      <c r="F25" s="27">
        <v>9387363.5899999999</v>
      </c>
      <c r="G25" s="33"/>
      <c r="H25" s="28">
        <v>1491.93</v>
      </c>
      <c r="I25" s="27">
        <f>F25/H25/31</f>
        <v>202.97076962228834</v>
      </c>
      <c r="J25" s="27"/>
      <c r="K25" s="33"/>
      <c r="L25" s="85">
        <v>54.03</v>
      </c>
      <c r="M25" s="27">
        <v>27709012.5</v>
      </c>
      <c r="N25" s="27">
        <v>114995</v>
      </c>
      <c r="O25" s="27">
        <v>4189736.5</v>
      </c>
      <c r="P25" s="33"/>
      <c r="Q25" s="31">
        <v>0</v>
      </c>
      <c r="R25" s="29">
        <v>0</v>
      </c>
      <c r="T25" s="27">
        <v>204009.69</v>
      </c>
      <c r="U25" s="33"/>
      <c r="V25" s="27">
        <f t="shared" si="0"/>
        <v>13781109.779999999</v>
      </c>
    </row>
    <row r="26" spans="1:22" ht="15.75" thickBot="1" x14ac:dyDescent="0.3">
      <c r="A26" s="5" t="s">
        <v>28</v>
      </c>
      <c r="C26" s="34">
        <f>SUM(C14:C25)</f>
        <v>739085944.91000009</v>
      </c>
      <c r="D26" s="34">
        <f t="shared" ref="D26:E26" si="1">SUM(D14:D25)</f>
        <v>14307951.689999998</v>
      </c>
      <c r="E26" s="34">
        <f t="shared" si="1"/>
        <v>672071909.5</v>
      </c>
      <c r="F26" s="34">
        <f>SUM(F14:F25)</f>
        <v>52706083.719999999</v>
      </c>
      <c r="G26" s="34"/>
      <c r="H26" s="35">
        <v>1321.76</v>
      </c>
      <c r="I26" s="34">
        <f>F26/H26/204</f>
        <v>195.46903786632677</v>
      </c>
      <c r="J26" s="36"/>
      <c r="K26" s="27"/>
      <c r="L26" s="37">
        <v>50.86</v>
      </c>
      <c r="M26" s="34">
        <f>SUM(M14:M25)</f>
        <v>163114938.28</v>
      </c>
      <c r="N26" s="34">
        <f>SUM(N14:N25)</f>
        <v>808185</v>
      </c>
      <c r="O26" s="34">
        <f>SUM(O14:O25)</f>
        <v>25192606.030000001</v>
      </c>
      <c r="P26" s="36"/>
      <c r="Q26" s="38">
        <v>0</v>
      </c>
      <c r="R26" s="34">
        <f>SUM(R14:R25)</f>
        <v>0</v>
      </c>
      <c r="S26" s="36"/>
      <c r="T26" s="34">
        <f>SUM(T14:T25)</f>
        <v>1979306.42</v>
      </c>
      <c r="U26" s="36"/>
      <c r="V26" s="34">
        <f>SUM(V14:V25)</f>
        <v>79877996.170000002</v>
      </c>
    </row>
    <row r="27" spans="1:22" ht="10.5" customHeight="1" thickTop="1" x14ac:dyDescent="0.25">
      <c r="C27" s="39"/>
      <c r="D27" s="39"/>
      <c r="E27" s="39"/>
      <c r="F27" s="39"/>
      <c r="G27" s="39"/>
      <c r="H27" s="39"/>
      <c r="L27" s="40"/>
      <c r="M27" s="39"/>
      <c r="N27" s="39"/>
      <c r="O27" s="39"/>
      <c r="P27" s="39"/>
      <c r="Q27" s="40"/>
      <c r="R27" s="39"/>
      <c r="S27" s="39"/>
    </row>
    <row r="28" spans="1:22" s="44" customFormat="1" x14ac:dyDescent="0.25">
      <c r="A28" s="41"/>
      <c r="B28" s="41"/>
      <c r="C28" s="42"/>
      <c r="D28" s="43">
        <f>D26/$C$26</f>
        <v>1.9358982251708633E-2</v>
      </c>
      <c r="E28" s="43">
        <f>E26/$C$26</f>
        <v>0.90932849437671215</v>
      </c>
      <c r="F28" s="43">
        <f>F26/$C$26</f>
        <v>7.131252337157909E-2</v>
      </c>
      <c r="G28" s="43"/>
      <c r="H28" s="42"/>
      <c r="L28" s="42"/>
      <c r="M28" s="42"/>
      <c r="N28" s="42"/>
      <c r="O28" s="42">
        <f>O26/$M$26</f>
        <v>0.15444695805086137</v>
      </c>
      <c r="P28" s="42"/>
      <c r="Q28" s="42"/>
      <c r="R28" s="42"/>
      <c r="S28" s="42"/>
    </row>
    <row r="29" spans="1:22" s="44" customFormat="1" x14ac:dyDescent="0.25">
      <c r="A29" s="41"/>
      <c r="B29" s="41"/>
      <c r="C29" s="42"/>
      <c r="D29" s="42"/>
      <c r="E29" s="42"/>
      <c r="F29" s="42"/>
      <c r="G29" s="42"/>
      <c r="H29" s="42"/>
      <c r="L29" s="42"/>
      <c r="M29" s="42"/>
      <c r="N29" s="42"/>
      <c r="O29" s="42"/>
      <c r="P29" s="42"/>
      <c r="Q29" s="42"/>
      <c r="R29" s="42"/>
      <c r="S29" s="42"/>
    </row>
    <row r="30" spans="1:22" s="44" customFormat="1" x14ac:dyDescent="0.25">
      <c r="A30" s="93" t="s">
        <v>29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5"/>
    </row>
    <row r="31" spans="1:22" s="46" customForma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1:22" s="46" customFormat="1" x14ac:dyDescent="0.25">
      <c r="A32" s="45"/>
      <c r="B32" s="45"/>
      <c r="C32" s="45"/>
      <c r="D32" s="45"/>
      <c r="E32" s="45"/>
      <c r="F32" s="45"/>
      <c r="G32" s="45"/>
      <c r="H32" s="107" t="s">
        <v>30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45"/>
      <c r="T32" s="45"/>
      <c r="U32" s="45"/>
      <c r="V32" s="45"/>
    </row>
    <row r="33" spans="1:22" s="48" customFormat="1" ht="12" x14ac:dyDescent="0.2">
      <c r="F33" s="48" t="s">
        <v>31</v>
      </c>
      <c r="H33" s="49" t="s">
        <v>32</v>
      </c>
      <c r="I33" s="49" t="s">
        <v>33</v>
      </c>
      <c r="J33" s="49" t="s">
        <v>34</v>
      </c>
      <c r="K33" s="50"/>
      <c r="L33" s="50"/>
      <c r="M33" s="51"/>
      <c r="N33" s="51"/>
      <c r="O33" s="51"/>
      <c r="P33" s="51"/>
      <c r="Q33" s="51"/>
      <c r="R33" s="52"/>
      <c r="S33" s="52"/>
    </row>
    <row r="34" spans="1:22" s="48" customFormat="1" ht="12.75" customHeight="1" x14ac:dyDescent="0.2">
      <c r="C34" s="17" t="s">
        <v>35</v>
      </c>
      <c r="D34" s="48" t="s">
        <v>11</v>
      </c>
      <c r="E34" s="48" t="s">
        <v>36</v>
      </c>
      <c r="F34" s="48" t="s">
        <v>37</v>
      </c>
      <c r="H34" s="49" t="s">
        <v>38</v>
      </c>
      <c r="I34" s="49" t="s">
        <v>39</v>
      </c>
      <c r="J34" s="49" t="s">
        <v>40</v>
      </c>
      <c r="K34" s="50"/>
      <c r="L34" s="101" t="s">
        <v>41</v>
      </c>
      <c r="M34" s="101"/>
      <c r="N34" s="101"/>
      <c r="O34" s="101"/>
      <c r="P34" s="101"/>
      <c r="Q34" s="101"/>
      <c r="R34" s="101"/>
      <c r="S34" s="51"/>
      <c r="T34" s="51"/>
      <c r="U34" s="51"/>
      <c r="V34" s="51"/>
    </row>
    <row r="35" spans="1:22" s="48" customFormat="1" ht="12" x14ac:dyDescent="0.2">
      <c r="C35" s="24" t="s">
        <v>42</v>
      </c>
      <c r="D35" s="53" t="s">
        <v>43</v>
      </c>
      <c r="E35" s="53" t="s">
        <v>44</v>
      </c>
      <c r="F35" s="53" t="s">
        <v>45</v>
      </c>
      <c r="G35" s="52"/>
      <c r="H35" s="54" t="s">
        <v>46</v>
      </c>
      <c r="I35" s="54" t="s">
        <v>47</v>
      </c>
      <c r="J35" s="54" t="s">
        <v>48</v>
      </c>
      <c r="K35" s="84"/>
      <c r="L35" s="84" t="s">
        <v>49</v>
      </c>
      <c r="M35" s="84" t="s">
        <v>50</v>
      </c>
      <c r="N35" s="84" t="s">
        <v>51</v>
      </c>
      <c r="O35" s="84" t="s">
        <v>52</v>
      </c>
      <c r="P35" s="56"/>
      <c r="Q35" s="84" t="s">
        <v>53</v>
      </c>
      <c r="R35" s="57" t="s">
        <v>54</v>
      </c>
      <c r="S35" s="52"/>
      <c r="T35" s="52"/>
      <c r="U35" s="52"/>
    </row>
    <row r="36" spans="1:22" s="44" customFormat="1" x14ac:dyDescent="0.25">
      <c r="A36" s="5">
        <v>43922</v>
      </c>
      <c r="B36" s="41"/>
      <c r="C36" s="36">
        <f>(F14*0.61)+(O14+R14+T14)*0.9</f>
        <v>0</v>
      </c>
      <c r="D36" s="36">
        <f>(F14*0.39)+(O14+R14+T14)*0.1</f>
        <v>0</v>
      </c>
      <c r="E36" s="27"/>
      <c r="F36" s="27"/>
      <c r="H36" s="27">
        <f>F14*0.39*0.8+(O14+R14+T14)*0.1*0.8+((E36+F36)*0.8)</f>
        <v>0</v>
      </c>
      <c r="I36" s="36">
        <f>(F14*0.39*0.05+(O14+R14+T14)*0.1*0.05+((E36+F36)*0.05))</f>
        <v>0</v>
      </c>
      <c r="J36" s="36">
        <f>F14*0.39*0.05+(O14+R14+T14)*0.1*0.05+(E36+F36)*0.05</f>
        <v>0</v>
      </c>
      <c r="K36" s="27"/>
      <c r="L36" s="36">
        <f>(F14*0.39*0.1+(O14+R14+T14)*0.1*0.1)*63096/1013091+((E36+F36)*0.1*63096/1013091)</f>
        <v>0</v>
      </c>
      <c r="M36" s="36">
        <f>(F14*0.39*0.1+(O14+R14+T14)*0.1*0.1)*47980/1013091+((E36+F36)*0.1*47980/1013091)</f>
        <v>0</v>
      </c>
      <c r="N36" s="36">
        <f>(F14*0.39*0.1+(O14+R14+T14)*0.1*0.1)*297488/1013091+((E36+F36)*0.1*297488/1013091)</f>
        <v>0</v>
      </c>
      <c r="O36" s="36">
        <f>(F14*0.39*0.1+(O14+R14+T14)*0.1*0.1)*49221/1013091+((E36+F36)*0.1*49221/1013091)</f>
        <v>0</v>
      </c>
      <c r="P36" s="58"/>
      <c r="Q36" s="36">
        <f>(F14*0.39*0.1+(O14+R14+T14)*0.1*0.1)*372813/1013091+((E36+F36)*0.1*372813/1013091)</f>
        <v>0</v>
      </c>
      <c r="R36" s="36">
        <f>(F14*0.39*0.1+(O14+R14+T14)*0.1*0.1)*182493/1013091+((E36+F36)*0.1*182493/1013091)</f>
        <v>0</v>
      </c>
      <c r="S36" s="36"/>
      <c r="T36" s="27"/>
      <c r="U36" s="27"/>
    </row>
    <row r="37" spans="1:22" s="44" customFormat="1" x14ac:dyDescent="0.25">
      <c r="A37" s="5">
        <v>43952</v>
      </c>
      <c r="B37" s="41"/>
      <c r="C37" s="36">
        <f t="shared" ref="C37:C47" si="2">(F15*0.61)+(O15+R15+T15)*0.9</f>
        <v>0</v>
      </c>
      <c r="D37" s="36">
        <f t="shared" ref="D37:D47" si="3">(F15*0.39)+(O15+R15+T15)*0.1</f>
        <v>0</v>
      </c>
      <c r="E37" s="27"/>
      <c r="F37" s="27"/>
      <c r="H37" s="27">
        <f t="shared" ref="H37:H47" si="4">F15*0.39*0.8+(O15+R15+T15)*0.1*0.8+((E37+F37)*0.8)</f>
        <v>0</v>
      </c>
      <c r="I37" s="36">
        <f t="shared" ref="I37:I47" si="5">(F15*0.39*0.05+(O15+R15+T15)*0.1*0.05+((E37+F37)*0.05))</f>
        <v>0</v>
      </c>
      <c r="J37" s="36">
        <f t="shared" ref="J37:J47" si="6">F15*0.39*0.05+(O15+R15+T15)*0.1*0.05+(E37+F37)*0.05</f>
        <v>0</v>
      </c>
      <c r="K37" s="27"/>
      <c r="L37" s="36">
        <f t="shared" ref="L37:L47" si="7">(F15*0.39*0.1+(O15+R15+T15)*0.1*0.1)*63096/1013091+((E37+F37)*0.1*63096/1013091)</f>
        <v>0</v>
      </c>
      <c r="M37" s="36">
        <f t="shared" ref="M37:M47" si="8">(F15*0.39*0.1+(O15+R15+T15)*0.1*0.1)*47980/1013091+((E37+F37)*0.1*47980/1013091)</f>
        <v>0</v>
      </c>
      <c r="N37" s="36">
        <f t="shared" ref="N37:N47" si="9">(F15*0.39*0.1+(O15+R15+T15)*0.1*0.1)*297488/1013091+((E37+F37)*0.1*297488/1013091)</f>
        <v>0</v>
      </c>
      <c r="O37" s="36">
        <f t="shared" ref="O37:O47" si="10">(F15*0.39*0.1+(O15+R15+T15)*0.1*0.1)*49221/1013091+((E37+F37)*0.1*49221/1013091)</f>
        <v>0</v>
      </c>
      <c r="P37" s="36"/>
      <c r="Q37" s="36">
        <f t="shared" ref="Q37:Q47" si="11">(F15*0.39*0.1+(O15+R15+T15)*0.1*0.1)*372813/1013091+((E37+F37)*0.1*372813/1013091)</f>
        <v>0</v>
      </c>
      <c r="R37" s="36">
        <f t="shared" ref="R37:R47" si="12">(F15*0.39*0.1+(O15+R15+T15)*0.1*0.1)*182493/1013091+((E37+F37)*0.1*182493/1013091)</f>
        <v>0</v>
      </c>
      <c r="S37" s="36"/>
      <c r="T37" s="27"/>
      <c r="U37" s="27"/>
    </row>
    <row r="38" spans="1:22" s="44" customFormat="1" x14ac:dyDescent="0.25">
      <c r="A38" s="5">
        <v>43983</v>
      </c>
      <c r="B38" s="41"/>
      <c r="C38" s="36">
        <f t="shared" si="2"/>
        <v>0</v>
      </c>
      <c r="D38" s="36">
        <f t="shared" si="3"/>
        <v>0</v>
      </c>
      <c r="E38" s="27"/>
      <c r="F38" s="27"/>
      <c r="H38" s="27">
        <f t="shared" si="4"/>
        <v>0</v>
      </c>
      <c r="I38" s="36">
        <f t="shared" si="5"/>
        <v>0</v>
      </c>
      <c r="J38" s="36">
        <f t="shared" si="6"/>
        <v>0</v>
      </c>
      <c r="K38" s="27"/>
      <c r="L38" s="36">
        <f t="shared" si="7"/>
        <v>0</v>
      </c>
      <c r="M38" s="36">
        <f t="shared" si="8"/>
        <v>0</v>
      </c>
      <c r="N38" s="36">
        <f t="shared" si="9"/>
        <v>0</v>
      </c>
      <c r="O38" s="36">
        <f t="shared" si="10"/>
        <v>0</v>
      </c>
      <c r="P38" s="36"/>
      <c r="Q38" s="36">
        <f t="shared" si="11"/>
        <v>0</v>
      </c>
      <c r="R38" s="36">
        <f t="shared" si="12"/>
        <v>0</v>
      </c>
      <c r="S38" s="36"/>
      <c r="T38" s="27"/>
      <c r="U38" s="27"/>
    </row>
    <row r="39" spans="1:22" s="44" customFormat="1" x14ac:dyDescent="0.25">
      <c r="A39" s="5">
        <v>44013</v>
      </c>
      <c r="B39" s="41"/>
      <c r="C39" s="36">
        <f t="shared" si="2"/>
        <v>0</v>
      </c>
      <c r="D39" s="36">
        <f t="shared" si="3"/>
        <v>0</v>
      </c>
      <c r="E39" s="27"/>
      <c r="F39" s="27"/>
      <c r="H39" s="27">
        <f t="shared" si="4"/>
        <v>0</v>
      </c>
      <c r="I39" s="36">
        <f t="shared" si="5"/>
        <v>0</v>
      </c>
      <c r="J39" s="36">
        <f t="shared" si="6"/>
        <v>0</v>
      </c>
      <c r="K39" s="27"/>
      <c r="L39" s="36">
        <f t="shared" si="7"/>
        <v>0</v>
      </c>
      <c r="M39" s="36">
        <f t="shared" si="8"/>
        <v>0</v>
      </c>
      <c r="N39" s="36">
        <f t="shared" si="9"/>
        <v>0</v>
      </c>
      <c r="O39" s="36">
        <f t="shared" si="10"/>
        <v>0</v>
      </c>
      <c r="P39" s="36"/>
      <c r="Q39" s="36">
        <f t="shared" si="11"/>
        <v>0</v>
      </c>
      <c r="R39" s="36">
        <f t="shared" si="12"/>
        <v>0</v>
      </c>
      <c r="S39" s="36"/>
      <c r="T39" s="27"/>
      <c r="U39" s="27"/>
      <c r="V39" s="59"/>
    </row>
    <row r="40" spans="1:22" s="44" customFormat="1" x14ac:dyDescent="0.25">
      <c r="A40" s="5">
        <v>44044</v>
      </c>
      <c r="B40" s="41"/>
      <c r="C40" s="36">
        <f t="shared" si="2"/>
        <v>0</v>
      </c>
      <c r="D40" s="36">
        <f t="shared" si="3"/>
        <v>0</v>
      </c>
      <c r="E40" s="27"/>
      <c r="F40" s="27"/>
      <c r="H40" s="27">
        <f t="shared" si="4"/>
        <v>0</v>
      </c>
      <c r="I40" s="36">
        <f t="shared" si="5"/>
        <v>0</v>
      </c>
      <c r="J40" s="36">
        <f t="shared" si="6"/>
        <v>0</v>
      </c>
      <c r="K40" s="27"/>
      <c r="L40" s="36">
        <f t="shared" si="7"/>
        <v>0</v>
      </c>
      <c r="M40" s="36">
        <f t="shared" si="8"/>
        <v>0</v>
      </c>
      <c r="N40" s="36">
        <f t="shared" si="9"/>
        <v>0</v>
      </c>
      <c r="O40" s="36">
        <f t="shared" si="10"/>
        <v>0</v>
      </c>
      <c r="P40" s="36"/>
      <c r="Q40" s="36">
        <f t="shared" si="11"/>
        <v>0</v>
      </c>
      <c r="R40" s="36">
        <f t="shared" si="12"/>
        <v>0</v>
      </c>
      <c r="S40" s="36"/>
      <c r="T40" s="27"/>
      <c r="U40" s="27"/>
      <c r="V40" s="31"/>
    </row>
    <row r="41" spans="1:22" s="44" customFormat="1" x14ac:dyDescent="0.25">
      <c r="A41" s="5">
        <v>44075</v>
      </c>
      <c r="B41" s="41"/>
      <c r="C41" s="36">
        <f t="shared" si="2"/>
        <v>6754476.0663999999</v>
      </c>
      <c r="D41" s="36">
        <f t="shared" si="3"/>
        <v>2977414.0236000004</v>
      </c>
      <c r="E41" s="27">
        <v>11989.11</v>
      </c>
      <c r="F41" s="27">
        <v>-9382</v>
      </c>
      <c r="G41" s="33"/>
      <c r="H41" s="27">
        <f t="shared" si="4"/>
        <v>2384016.9068800006</v>
      </c>
      <c r="I41" s="36">
        <f t="shared" si="5"/>
        <v>149001.05668000004</v>
      </c>
      <c r="J41" s="36">
        <f t="shared" si="6"/>
        <v>149001.05668000004</v>
      </c>
      <c r="K41" s="27"/>
      <c r="L41" s="36">
        <f t="shared" si="7"/>
        <v>18559.775325772873</v>
      </c>
      <c r="M41" s="36">
        <f t="shared" si="8"/>
        <v>14113.383100839712</v>
      </c>
      <c r="N41" s="36">
        <f t="shared" si="9"/>
        <v>87506.505041738303</v>
      </c>
      <c r="O41" s="36">
        <f t="shared" si="10"/>
        <v>14478.42496053421</v>
      </c>
      <c r="P41" s="36"/>
      <c r="Q41" s="36">
        <f t="shared" si="11"/>
        <v>109663.45756509702</v>
      </c>
      <c r="R41" s="36">
        <f t="shared" si="12"/>
        <v>53680.567366017953</v>
      </c>
      <c r="S41" s="36"/>
      <c r="T41" s="27"/>
      <c r="U41" s="27"/>
    </row>
    <row r="42" spans="1:22" s="44" customFormat="1" x14ac:dyDescent="0.25">
      <c r="A42" s="5">
        <v>44105</v>
      </c>
      <c r="B42" s="41"/>
      <c r="C42" s="36">
        <f t="shared" si="2"/>
        <v>9809140.0207000002</v>
      </c>
      <c r="D42" s="36">
        <f t="shared" si="3"/>
        <v>3950600.7693000003</v>
      </c>
      <c r="E42" s="27">
        <v>12813.17</v>
      </c>
      <c r="F42" s="27">
        <v>0</v>
      </c>
      <c r="G42" s="33"/>
      <c r="H42" s="27">
        <f t="shared" si="4"/>
        <v>3170731.1514400006</v>
      </c>
      <c r="I42" s="36">
        <f t="shared" si="5"/>
        <v>198170.69696500004</v>
      </c>
      <c r="J42" s="36">
        <f t="shared" si="6"/>
        <v>198170.69696500004</v>
      </c>
      <c r="K42" s="27"/>
      <c r="L42" s="36">
        <f t="shared" si="7"/>
        <v>24684.412941588944</v>
      </c>
      <c r="M42" s="36">
        <f t="shared" si="8"/>
        <v>18770.732422616929</v>
      </c>
      <c r="N42" s="36">
        <f t="shared" si="9"/>
        <v>116383.23565943027</v>
      </c>
      <c r="O42" s="36">
        <f t="shared" si="10"/>
        <v>19256.23636043409</v>
      </c>
      <c r="P42" s="36"/>
      <c r="Q42" s="36">
        <f t="shared" si="11"/>
        <v>145851.87717117724</v>
      </c>
      <c r="R42" s="36">
        <f t="shared" si="12"/>
        <v>71394.899374752611</v>
      </c>
      <c r="S42" s="36"/>
      <c r="T42" s="27"/>
      <c r="U42" s="27"/>
    </row>
    <row r="43" spans="1:22" s="44" customFormat="1" x14ac:dyDescent="0.25">
      <c r="A43" s="5">
        <v>44136</v>
      </c>
      <c r="B43" s="41"/>
      <c r="C43" s="36">
        <f t="shared" si="2"/>
        <v>7578788.4487999994</v>
      </c>
      <c r="D43" s="36">
        <f t="shared" si="3"/>
        <v>3033247.5911999997</v>
      </c>
      <c r="E43" s="27">
        <v>11623.6</v>
      </c>
      <c r="F43" s="27">
        <v>0</v>
      </c>
      <c r="G43" s="33"/>
      <c r="H43" s="27">
        <f t="shared" si="4"/>
        <v>2435896.9529599999</v>
      </c>
      <c r="I43" s="36">
        <f t="shared" si="5"/>
        <v>152243.55955999999</v>
      </c>
      <c r="J43" s="36">
        <f t="shared" si="6"/>
        <v>152243.55955999999</v>
      </c>
      <c r="K43" s="27"/>
      <c r="L43" s="36">
        <f t="shared" si="7"/>
        <v>18963.66591746992</v>
      </c>
      <c r="M43" s="36">
        <f t="shared" si="8"/>
        <v>14420.513039181673</v>
      </c>
      <c r="N43" s="36">
        <f t="shared" si="9"/>
        <v>89410.787473949094</v>
      </c>
      <c r="O43" s="36">
        <f t="shared" si="10"/>
        <v>14793.498797448126</v>
      </c>
      <c r="P43" s="36"/>
      <c r="Q43" s="36">
        <f t="shared" si="11"/>
        <v>112049.9109561575</v>
      </c>
      <c r="R43" s="36">
        <f t="shared" si="12"/>
        <v>54848.742935793685</v>
      </c>
      <c r="S43" s="36"/>
      <c r="T43" s="27"/>
      <c r="U43" s="27"/>
    </row>
    <row r="44" spans="1:22" s="44" customFormat="1" x14ac:dyDescent="0.25">
      <c r="A44" s="5">
        <v>44166</v>
      </c>
      <c r="B44" s="41"/>
      <c r="C44" s="36">
        <f t="shared" si="2"/>
        <v>7395657.9496999998</v>
      </c>
      <c r="D44" s="36">
        <f t="shared" si="3"/>
        <v>2723753.4503000006</v>
      </c>
      <c r="E44" s="27">
        <v>19190.21</v>
      </c>
      <c r="F44" s="27">
        <v>0</v>
      </c>
      <c r="G44" s="33"/>
      <c r="H44" s="27">
        <f t="shared" si="4"/>
        <v>2194354.9282400003</v>
      </c>
      <c r="I44" s="36">
        <f t="shared" si="5"/>
        <v>137147.18301500002</v>
      </c>
      <c r="J44" s="36">
        <f t="shared" si="6"/>
        <v>137147.18301500002</v>
      </c>
      <c r="K44" s="27"/>
      <c r="L44" s="36">
        <f t="shared" si="7"/>
        <v>17083.240616123214</v>
      </c>
      <c r="M44" s="36">
        <f t="shared" si="8"/>
        <v>12990.583947660578</v>
      </c>
      <c r="N44" s="36">
        <f t="shared" si="9"/>
        <v>80544.869475232379</v>
      </c>
      <c r="O44" s="36">
        <f t="shared" si="10"/>
        <v>13326.584670441876</v>
      </c>
      <c r="P44" s="36"/>
      <c r="Q44" s="36">
        <f t="shared" si="11"/>
        <v>100939.11157313845</v>
      </c>
      <c r="R44" s="36">
        <f t="shared" si="12"/>
        <v>49409.975747403536</v>
      </c>
      <c r="S44" s="36"/>
      <c r="T44" s="33"/>
      <c r="U44" s="33"/>
    </row>
    <row r="45" spans="1:22" s="44" customFormat="1" x14ac:dyDescent="0.25">
      <c r="A45" s="5">
        <v>44197</v>
      </c>
      <c r="B45" s="41"/>
      <c r="C45" s="36">
        <f t="shared" si="2"/>
        <v>8171268.6714999992</v>
      </c>
      <c r="D45" s="36">
        <f t="shared" si="3"/>
        <v>3415580.2385</v>
      </c>
      <c r="E45" s="27">
        <v>11577.1</v>
      </c>
      <c r="F45" s="27">
        <v>0</v>
      </c>
      <c r="G45" s="33"/>
      <c r="H45" s="27">
        <f t="shared" si="4"/>
        <v>2741725.8708000006</v>
      </c>
      <c r="I45" s="36">
        <f t="shared" si="5"/>
        <v>171357.86692500004</v>
      </c>
      <c r="J45" s="36">
        <f t="shared" si="6"/>
        <v>171357.86692500004</v>
      </c>
      <c r="K45" s="27"/>
      <c r="L45" s="36">
        <f t="shared" si="7"/>
        <v>21344.570174840763</v>
      </c>
      <c r="M45" s="36">
        <f t="shared" si="8"/>
        <v>16231.020619197094</v>
      </c>
      <c r="N45" s="36">
        <f t="shared" si="9"/>
        <v>100636.38728561286</v>
      </c>
      <c r="O45" s="36">
        <f t="shared" si="10"/>
        <v>16650.835054137144</v>
      </c>
      <c r="P45" s="36"/>
      <c r="Q45" s="36">
        <f t="shared" si="11"/>
        <v>126117.87182377504</v>
      </c>
      <c r="R45" s="36">
        <f t="shared" si="12"/>
        <v>61735.04889243716</v>
      </c>
      <c r="S45" s="60"/>
      <c r="T45" s="33"/>
      <c r="U45" s="33"/>
    </row>
    <row r="46" spans="1:22" s="44" customFormat="1" x14ac:dyDescent="0.25">
      <c r="A46" s="5">
        <v>44228</v>
      </c>
      <c r="B46" s="41"/>
      <c r="C46" s="36">
        <f t="shared" si="2"/>
        <v>7215437.7561999997</v>
      </c>
      <c r="D46" s="36">
        <f t="shared" si="3"/>
        <v>3071521.4038000004</v>
      </c>
      <c r="E46" s="27">
        <v>16614.939999999999</v>
      </c>
      <c r="F46" s="27">
        <v>0</v>
      </c>
      <c r="G46" s="33"/>
      <c r="H46" s="27">
        <f t="shared" si="4"/>
        <v>2470509.0750400005</v>
      </c>
      <c r="I46" s="36">
        <f t="shared" si="5"/>
        <v>154406.81719000003</v>
      </c>
      <c r="J46" s="36">
        <f t="shared" si="6"/>
        <v>154406.81719000003</v>
      </c>
      <c r="K46" s="27"/>
      <c r="L46" s="36">
        <f t="shared" si="7"/>
        <v>19233.124245344679</v>
      </c>
      <c r="M46" s="36">
        <f t="shared" si="8"/>
        <v>14625.416845626311</v>
      </c>
      <c r="N46" s="36">
        <f t="shared" si="9"/>
        <v>90681.242321210506</v>
      </c>
      <c r="O46" s="36">
        <f t="shared" si="10"/>
        <v>15003.70242931581</v>
      </c>
      <c r="P46" s="27"/>
      <c r="Q46" s="36">
        <f t="shared" si="11"/>
        <v>113642.04940534559</v>
      </c>
      <c r="R46" s="36">
        <f t="shared" si="12"/>
        <v>55628.099133157186</v>
      </c>
      <c r="S46" s="60"/>
      <c r="T46" s="33"/>
      <c r="U46" s="33"/>
    </row>
    <row r="47" spans="1:22" s="44" customFormat="1" x14ac:dyDescent="0.25">
      <c r="A47" s="5">
        <v>44256</v>
      </c>
      <c r="B47" s="41"/>
      <c r="C47" s="36">
        <f t="shared" si="2"/>
        <v>9680663.3608999997</v>
      </c>
      <c r="D47" s="36">
        <f t="shared" si="3"/>
        <v>4100446.4191000001</v>
      </c>
      <c r="E47" s="27">
        <v>14688.66</v>
      </c>
      <c r="F47" s="27">
        <v>0</v>
      </c>
      <c r="G47" s="33"/>
      <c r="H47" s="27">
        <f t="shared" si="4"/>
        <v>3292108.0632799999</v>
      </c>
      <c r="I47" s="36">
        <f t="shared" si="5"/>
        <v>205756.75395499999</v>
      </c>
      <c r="J47" s="36">
        <f t="shared" si="6"/>
        <v>205756.75395499999</v>
      </c>
      <c r="K47" s="27"/>
      <c r="L47" s="36">
        <f t="shared" si="7"/>
        <v>25629.342571486039</v>
      </c>
      <c r="M47" s="36">
        <f t="shared" si="8"/>
        <v>19489.283894064603</v>
      </c>
      <c r="N47" s="36">
        <f t="shared" si="9"/>
        <v>120838.43449515401</v>
      </c>
      <c r="O47" s="36">
        <f t="shared" si="10"/>
        <v>19993.373125255392</v>
      </c>
      <c r="P47" s="27"/>
      <c r="Q47" s="36">
        <f t="shared" si="11"/>
        <v>151435.14790324937</v>
      </c>
      <c r="R47" s="36">
        <f t="shared" si="12"/>
        <v>74127.925920790556</v>
      </c>
      <c r="S47" s="60"/>
      <c r="T47" s="33"/>
      <c r="U47" s="33"/>
    </row>
    <row r="48" spans="1:22" s="44" customFormat="1" ht="15.75" thickBot="1" x14ac:dyDescent="0.3">
      <c r="A48" s="5" t="s">
        <v>28</v>
      </c>
      <c r="B48" s="41"/>
      <c r="C48" s="61">
        <f>SUM(C36:C47)</f>
        <v>56605432.274199992</v>
      </c>
      <c r="D48" s="61">
        <f t="shared" ref="D48:E48" si="13">SUM(D36:D47)</f>
        <v>23272563.895800002</v>
      </c>
      <c r="E48" s="61">
        <f t="shared" si="13"/>
        <v>98496.790000000008</v>
      </c>
      <c r="F48" s="34">
        <f>SUM(F36:F47)</f>
        <v>-9382</v>
      </c>
      <c r="G48" s="39"/>
      <c r="H48" s="61">
        <f>SUM(H36:H47)</f>
        <v>18689342.948640004</v>
      </c>
      <c r="I48" s="61">
        <f t="shared" ref="I48:R48" si="14">SUM(I36:I47)</f>
        <v>1168083.9342900002</v>
      </c>
      <c r="J48" s="61">
        <f t="shared" si="14"/>
        <v>1168083.9342900002</v>
      </c>
      <c r="K48" s="61"/>
      <c r="L48" s="61">
        <f t="shared" si="14"/>
        <v>145498.13179262643</v>
      </c>
      <c r="M48" s="61">
        <f t="shared" si="14"/>
        <v>110640.93386918691</v>
      </c>
      <c r="N48" s="61">
        <f t="shared" si="14"/>
        <v>686001.46175232739</v>
      </c>
      <c r="O48" s="61">
        <f t="shared" si="14"/>
        <v>113502.65539756665</v>
      </c>
      <c r="P48" s="61"/>
      <c r="Q48" s="61">
        <f t="shared" si="14"/>
        <v>859699.42639794014</v>
      </c>
      <c r="R48" s="61">
        <f t="shared" si="14"/>
        <v>420825.25937035261</v>
      </c>
      <c r="S48" s="39"/>
      <c r="T48" s="39"/>
      <c r="U48" s="39"/>
      <c r="V48" s="59"/>
    </row>
    <row r="49" spans="1:23" s="44" customFormat="1" ht="15.75" thickTop="1" x14ac:dyDescent="0.25">
      <c r="A49" s="41"/>
      <c r="B49" s="41"/>
      <c r="C49" s="39"/>
      <c r="D49" s="42"/>
      <c r="E49" s="42"/>
      <c r="F49" s="42"/>
      <c r="G49" s="42"/>
      <c r="H49" s="42"/>
      <c r="I49" s="42"/>
      <c r="L49" s="42"/>
      <c r="M49" s="42"/>
      <c r="N49" s="42"/>
      <c r="O49" s="42"/>
      <c r="Q49" s="42"/>
    </row>
    <row r="50" spans="1:23" s="44" customFormat="1" x14ac:dyDescent="0.25">
      <c r="A50" s="41"/>
      <c r="B50" s="41"/>
      <c r="C50" s="42">
        <f>C48/V26</f>
        <v>0.7086486265094798</v>
      </c>
      <c r="D50" s="42">
        <f>D48/V26</f>
        <v>0.29135137349052009</v>
      </c>
      <c r="E50" s="42"/>
      <c r="F50" s="42"/>
      <c r="G50" s="42"/>
      <c r="H50" s="42">
        <f>H48/($D$48+$E$48+$F$48)</f>
        <v>0.80000000000000016</v>
      </c>
      <c r="I50" s="42">
        <f t="shared" ref="I50:R50" si="15">I48/($D$48+$E$48+$F$48)</f>
        <v>5.000000000000001E-2</v>
      </c>
      <c r="J50" s="42">
        <f t="shared" si="15"/>
        <v>5.000000000000001E-2</v>
      </c>
      <c r="K50" s="42"/>
      <c r="L50" s="42">
        <f t="shared" si="15"/>
        <v>6.2280683571367236E-3</v>
      </c>
      <c r="M50" s="42">
        <f t="shared" si="15"/>
        <v>4.7360010107680367E-3</v>
      </c>
      <c r="N50" s="42">
        <f t="shared" si="15"/>
        <v>2.9364390760553593E-2</v>
      </c>
      <c r="O50" s="42">
        <f t="shared" si="15"/>
        <v>4.8584974104004478E-3</v>
      </c>
      <c r="P50" s="42"/>
      <c r="Q50" s="42">
        <f t="shared" si="15"/>
        <v>3.6799556999321879E-2</v>
      </c>
      <c r="R50" s="42">
        <f t="shared" si="15"/>
        <v>1.8013485461819322E-2</v>
      </c>
      <c r="S50" s="42"/>
      <c r="T50" s="42"/>
      <c r="U50" s="42"/>
    </row>
    <row r="51" spans="1:23" s="44" customFormat="1" x14ac:dyDescent="0.25">
      <c r="A51" s="41"/>
      <c r="B51" s="41"/>
      <c r="C51" s="42"/>
      <c r="D51" s="42"/>
      <c r="F51" s="39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W51" s="59"/>
    </row>
    <row r="52" spans="1:23" s="44" customFormat="1" x14ac:dyDescent="0.25">
      <c r="A52" s="62" t="s">
        <v>55</v>
      </c>
      <c r="B52" s="41"/>
      <c r="C52" s="42"/>
      <c r="D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W52" s="59"/>
    </row>
    <row r="53" spans="1:23" s="46" customFormat="1" x14ac:dyDescent="0.25">
      <c r="A53" s="63" t="s">
        <v>73</v>
      </c>
      <c r="B53" s="64"/>
      <c r="C53" s="65"/>
      <c r="D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W53" s="59"/>
    </row>
    <row r="54" spans="1:23" s="46" customFormat="1" x14ac:dyDescent="0.25">
      <c r="A54" s="63" t="s">
        <v>57</v>
      </c>
      <c r="B54" s="64"/>
      <c r="C54" s="65"/>
      <c r="D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</row>
    <row r="55" spans="1:23" s="46" customFormat="1" x14ac:dyDescent="0.25">
      <c r="A55" s="63"/>
      <c r="B55" s="64"/>
      <c r="C55" s="65"/>
      <c r="D55" s="65"/>
      <c r="H55" s="66"/>
      <c r="I55" s="66"/>
      <c r="J55" s="66"/>
      <c r="K55" s="65"/>
      <c r="L55" s="67"/>
      <c r="M55" s="67"/>
      <c r="N55" s="67"/>
      <c r="O55" s="67"/>
      <c r="P55" s="65"/>
      <c r="Q55" s="67"/>
      <c r="R55" s="67"/>
      <c r="S55" s="67"/>
      <c r="T55" s="68"/>
      <c r="U55" s="68"/>
      <c r="V55" s="68"/>
    </row>
    <row r="56" spans="1:23" s="46" customFormat="1" ht="15" customHeight="1" x14ac:dyDescent="0.25">
      <c r="A56" s="63" t="s">
        <v>58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</row>
    <row r="57" spans="1:23" s="46" customFormat="1" x14ac:dyDescent="0.25">
      <c r="B57" s="64"/>
      <c r="C57" s="65"/>
      <c r="D57" s="7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23" ht="15" customHeight="1" x14ac:dyDescent="0.25">
      <c r="A58" s="71" t="s">
        <v>59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23" x14ac:dyDescent="0.25">
      <c r="A59" s="71" t="s">
        <v>60</v>
      </c>
    </row>
    <row r="61" spans="1:23" x14ac:dyDescent="0.25">
      <c r="A61" s="71" t="s">
        <v>61</v>
      </c>
    </row>
    <row r="62" spans="1:23" x14ac:dyDescent="0.25">
      <c r="A62" s="71"/>
      <c r="B62" s="72"/>
      <c r="C62" s="73"/>
      <c r="D62" s="73"/>
      <c r="E62" s="73"/>
      <c r="F62" s="73"/>
      <c r="G62" s="73"/>
      <c r="H62" s="73"/>
      <c r="I62" s="74"/>
      <c r="J62" s="73"/>
      <c r="K62" s="73"/>
      <c r="L62" s="73"/>
      <c r="M62" s="73"/>
      <c r="N62" s="73"/>
      <c r="O62" s="73"/>
    </row>
    <row r="63" spans="1:23" x14ac:dyDescent="0.25">
      <c r="A63" s="71" t="s">
        <v>71</v>
      </c>
    </row>
    <row r="65" spans="1:1" x14ac:dyDescent="0.25">
      <c r="A65" s="83" t="s">
        <v>72</v>
      </c>
    </row>
  </sheetData>
  <mergeCells count="12">
    <mergeCell ref="L34:R34"/>
    <mergeCell ref="A1:V1"/>
    <mergeCell ref="A2:V2"/>
    <mergeCell ref="A3:V3"/>
    <mergeCell ref="A4:V4"/>
    <mergeCell ref="A5:V5"/>
    <mergeCell ref="A8:V8"/>
    <mergeCell ref="C10:I10"/>
    <mergeCell ref="L10:O10"/>
    <mergeCell ref="Q10:R10"/>
    <mergeCell ref="A30:V30"/>
    <mergeCell ref="H32:R32"/>
  </mergeCells>
  <hyperlinks>
    <hyperlink ref="A4" r:id="rId1" xr:uid="{9EAD780B-9BF2-46E4-B458-3A2E1F61AB26}"/>
  </hyperlinks>
  <printOptions horizontalCentered="1" verticalCentered="1"/>
  <pageMargins left="0" right="0" top="0.25" bottom="0.25" header="0.3" footer="0.3"/>
  <pageSetup scale="59" orientation="landscape" r:id="rId2"/>
  <ignoredErrors>
    <ignoredError sqref="I21 I24" 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8A70-8DF7-40AB-B06B-E9B07D510593}">
  <sheetPr>
    <pageSetUpPr fitToPage="1"/>
  </sheetPr>
  <dimension ref="A1:W65"/>
  <sheetViews>
    <sheetView zoomScale="79" zoomScaleNormal="79" workbookViewId="0">
      <selection activeCell="Q26" sqref="Q26"/>
    </sheetView>
  </sheetViews>
  <sheetFormatPr defaultRowHeight="15" x14ac:dyDescent="0.25"/>
  <cols>
    <col min="1" max="1" width="9.28515625" style="5" customWidth="1"/>
    <col min="2" max="2" width="1.7109375" style="5" customWidth="1"/>
    <col min="3" max="3" width="15.5703125" style="29" bestFit="1" customWidth="1"/>
    <col min="4" max="4" width="13.5703125" style="29" customWidth="1"/>
    <col min="5" max="5" width="15.85546875" style="29" customWidth="1"/>
    <col min="6" max="6" width="18.140625" style="29" customWidth="1"/>
    <col min="7" max="7" width="1.85546875" style="29" customWidth="1"/>
    <col min="8" max="8" width="15" style="29" customWidth="1"/>
    <col min="9" max="9" width="11.7109375" style="31" customWidth="1"/>
    <col min="10" max="10" width="11.7109375" style="29" customWidth="1"/>
    <col min="11" max="11" width="1.140625" style="29" customWidth="1"/>
    <col min="12" max="12" width="14" style="29" customWidth="1"/>
    <col min="13" max="13" width="13.85546875" style="29" customWidth="1"/>
    <col min="14" max="14" width="12.7109375" style="29" bestFit="1" customWidth="1"/>
    <col min="15" max="15" width="12.42578125" style="29" customWidth="1"/>
    <col min="16" max="16" width="2" style="29" customWidth="1"/>
    <col min="17" max="17" width="15" style="29" customWidth="1"/>
    <col min="18" max="18" width="12.140625" style="29" customWidth="1"/>
    <col min="19" max="19" width="2" style="29" customWidth="1"/>
    <col min="20" max="20" width="12.140625" style="1" customWidth="1"/>
    <col min="21" max="21" width="2" style="1" customWidth="1"/>
    <col min="22" max="22" width="16" style="1" customWidth="1"/>
    <col min="23" max="23" width="15" style="1" customWidth="1"/>
    <col min="24" max="259" width="8.8554687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8.8554687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8.8554687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8.8554687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8.8554687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8.8554687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8.8554687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8.8554687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8.8554687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8.8554687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8.8554687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8.8554687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8.8554687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8.8554687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8.8554687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8.8554687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8.8554687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8.8554687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8.8554687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8.8554687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8.8554687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8.8554687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8.8554687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8.8554687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8.8554687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8.8554687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8.8554687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8.8554687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8.8554687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8.8554687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8.8554687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8.8554687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8.8554687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8.8554687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8.8554687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8.8554687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8.8554687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8.8554687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8.8554687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8.8554687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8.8554687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8.8554687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8.8554687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8.8554687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8.8554687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8.8554687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8.8554687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8.8554687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8.8554687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8.8554687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8.8554687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8.8554687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8.8554687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8.8554687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8.8554687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8.8554687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8.8554687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8.8554687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8.8554687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8.8554687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8.8554687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8.8554687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8.8554687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8.85546875" style="1"/>
  </cols>
  <sheetData>
    <row r="1" spans="1:23" ht="18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3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3" s="2" customFormat="1" ht="15.75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3" s="3" customFormat="1" ht="14.25" customHeight="1" x14ac:dyDescent="0.25">
      <c r="A4" s="98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3" s="3" customForma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/>
    </row>
    <row r="6" spans="1:23" s="2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23" s="9" customFormat="1" ht="14.25" customHeight="1" x14ac:dyDescent="0.25">
      <c r="A8" s="93" t="s">
        <v>70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5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8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23" s="14" customFormat="1" ht="28.9" customHeight="1" x14ac:dyDescent="0.2">
      <c r="A10" s="10"/>
      <c r="B10" s="10"/>
      <c r="C10" s="102" t="s">
        <v>6</v>
      </c>
      <c r="D10" s="103"/>
      <c r="E10" s="103"/>
      <c r="F10" s="103"/>
      <c r="G10" s="103"/>
      <c r="H10" s="103"/>
      <c r="I10" s="103"/>
      <c r="J10" s="11"/>
      <c r="K10" s="12"/>
      <c r="L10" s="102" t="s">
        <v>7</v>
      </c>
      <c r="M10" s="103"/>
      <c r="N10" s="103"/>
      <c r="O10" s="104"/>
      <c r="P10" s="13"/>
      <c r="Q10" s="102" t="s">
        <v>8</v>
      </c>
      <c r="R10" s="104"/>
      <c r="S10" s="77"/>
      <c r="T10" s="80" t="s">
        <v>67</v>
      </c>
      <c r="U10" s="79"/>
    </row>
    <row r="11" spans="1:23" s="19" customFormat="1" ht="12" x14ac:dyDescent="0.2">
      <c r="A11" s="15"/>
      <c r="B11" s="15"/>
      <c r="C11" s="16"/>
      <c r="D11" s="17" t="s">
        <v>9</v>
      </c>
      <c r="E11" s="16"/>
      <c r="F11" s="16"/>
      <c r="G11" s="16"/>
      <c r="H11" s="18" t="s">
        <v>10</v>
      </c>
      <c r="I11" s="16"/>
      <c r="J11" s="16"/>
      <c r="K11" s="16"/>
      <c r="L11" s="17" t="s">
        <v>11</v>
      </c>
      <c r="M11" s="17"/>
      <c r="N11" s="17" t="s">
        <v>9</v>
      </c>
      <c r="O11" s="17" t="s">
        <v>11</v>
      </c>
      <c r="Q11" s="17" t="s">
        <v>11</v>
      </c>
      <c r="R11" s="17" t="s">
        <v>11</v>
      </c>
      <c r="S11" s="17"/>
      <c r="T11" s="22" t="s">
        <v>68</v>
      </c>
      <c r="U11" s="22"/>
      <c r="V11" s="17" t="s">
        <v>11</v>
      </c>
    </row>
    <row r="12" spans="1:23" s="22" customFormat="1" ht="12" x14ac:dyDescent="0.2">
      <c r="A12" s="20"/>
      <c r="B12" s="20"/>
      <c r="C12" s="17" t="s">
        <v>12</v>
      </c>
      <c r="D12" s="21" t="s">
        <v>13</v>
      </c>
      <c r="E12" s="17" t="s">
        <v>12</v>
      </c>
      <c r="F12" s="17" t="s">
        <v>14</v>
      </c>
      <c r="G12" s="17"/>
      <c r="H12" s="18" t="s">
        <v>15</v>
      </c>
      <c r="I12" s="17" t="s">
        <v>16</v>
      </c>
      <c r="J12" s="17"/>
      <c r="K12" s="17"/>
      <c r="L12" s="22" t="s">
        <v>10</v>
      </c>
      <c r="M12" s="17" t="s">
        <v>17</v>
      </c>
      <c r="N12" s="17" t="s">
        <v>17</v>
      </c>
      <c r="O12" s="17" t="s">
        <v>17</v>
      </c>
      <c r="Q12" s="22" t="s">
        <v>10</v>
      </c>
      <c r="R12" s="17" t="s">
        <v>18</v>
      </c>
      <c r="S12" s="17"/>
      <c r="T12" s="22" t="s">
        <v>69</v>
      </c>
      <c r="V12" s="17" t="s">
        <v>11</v>
      </c>
    </row>
    <row r="13" spans="1:23" s="22" customFormat="1" ht="12" x14ac:dyDescent="0.2">
      <c r="A13" s="23" t="s">
        <v>19</v>
      </c>
      <c r="B13" s="23"/>
      <c r="C13" s="24" t="s">
        <v>20</v>
      </c>
      <c r="D13" s="24" t="s">
        <v>12</v>
      </c>
      <c r="E13" s="24" t="s">
        <v>21</v>
      </c>
      <c r="F13" s="24" t="s">
        <v>22</v>
      </c>
      <c r="G13" s="24"/>
      <c r="H13" s="25" t="s">
        <v>23</v>
      </c>
      <c r="I13" s="24" t="s">
        <v>24</v>
      </c>
      <c r="J13" s="21"/>
      <c r="K13" s="21"/>
      <c r="L13" s="24" t="s">
        <v>25</v>
      </c>
      <c r="M13" s="24" t="s">
        <v>26</v>
      </c>
      <c r="N13" s="24" t="s">
        <v>12</v>
      </c>
      <c r="O13" s="24" t="s">
        <v>22</v>
      </c>
      <c r="P13" s="26"/>
      <c r="Q13" s="24" t="s">
        <v>8</v>
      </c>
      <c r="R13" s="24" t="s">
        <v>22</v>
      </c>
      <c r="S13" s="21"/>
      <c r="T13" s="78" t="s">
        <v>22</v>
      </c>
      <c r="U13" s="26"/>
      <c r="V13" s="24" t="s">
        <v>27</v>
      </c>
    </row>
    <row r="14" spans="1:23" x14ac:dyDescent="0.25">
      <c r="A14" s="5">
        <v>43556</v>
      </c>
      <c r="C14" s="27">
        <v>129314048.48999999</v>
      </c>
      <c r="D14" s="27">
        <v>2432154.2000000002</v>
      </c>
      <c r="E14" s="27">
        <v>117809100.22</v>
      </c>
      <c r="F14" s="27">
        <v>9072794.0700000003</v>
      </c>
      <c r="G14" s="27"/>
      <c r="H14" s="28">
        <v>1804</v>
      </c>
      <c r="I14" s="27">
        <v>168</v>
      </c>
      <c r="J14" s="27"/>
      <c r="L14" s="30">
        <v>133</v>
      </c>
      <c r="M14" s="27">
        <v>41587901</v>
      </c>
      <c r="N14" s="27">
        <v>1455340</v>
      </c>
      <c r="O14" s="27">
        <v>7523617</v>
      </c>
      <c r="Q14" s="31">
        <v>19</v>
      </c>
      <c r="R14" s="29">
        <v>363194</v>
      </c>
      <c r="T14" s="29">
        <v>0</v>
      </c>
      <c r="V14" s="27">
        <f>R14+O14+F14+T14</f>
        <v>16959605.07</v>
      </c>
    </row>
    <row r="15" spans="1:23" x14ac:dyDescent="0.25">
      <c r="A15" s="5">
        <v>43586</v>
      </c>
      <c r="C15" s="27">
        <v>152509937.12</v>
      </c>
      <c r="D15" s="27">
        <v>2666385.42</v>
      </c>
      <c r="E15" s="27">
        <v>138720168.13</v>
      </c>
      <c r="F15" s="27">
        <v>11123383.57</v>
      </c>
      <c r="G15" s="27"/>
      <c r="H15" s="28">
        <v>1612</v>
      </c>
      <c r="I15" s="27">
        <v>223</v>
      </c>
      <c r="J15" s="27"/>
      <c r="K15" s="32"/>
      <c r="L15" s="32">
        <v>133</v>
      </c>
      <c r="M15" s="27">
        <v>37985234.049999997</v>
      </c>
      <c r="N15" s="27">
        <v>1555895</v>
      </c>
      <c r="O15" s="27">
        <v>3003856.8</v>
      </c>
      <c r="P15" s="32"/>
      <c r="Q15" s="31">
        <v>19</v>
      </c>
      <c r="R15" s="29">
        <v>362108</v>
      </c>
      <c r="T15" s="29">
        <v>0</v>
      </c>
      <c r="U15" s="32"/>
      <c r="V15" s="27">
        <f t="shared" ref="V15:V25" si="0">R15+O15+F15+T15</f>
        <v>14489348.370000001</v>
      </c>
    </row>
    <row r="16" spans="1:23" x14ac:dyDescent="0.25">
      <c r="A16" s="5">
        <v>43617</v>
      </c>
      <c r="C16" s="27">
        <v>153375752.16</v>
      </c>
      <c r="D16" s="27">
        <v>2299919.14</v>
      </c>
      <c r="E16" s="27">
        <v>139235074.81999999</v>
      </c>
      <c r="F16" s="27">
        <v>11840758.199999999</v>
      </c>
      <c r="G16" s="27"/>
      <c r="H16" s="28">
        <v>1604</v>
      </c>
      <c r="I16" s="27">
        <v>246</v>
      </c>
      <c r="J16" s="27"/>
      <c r="K16" s="32"/>
      <c r="L16" s="32">
        <v>132</v>
      </c>
      <c r="M16" s="27">
        <v>51701152.509999998</v>
      </c>
      <c r="N16" s="27">
        <v>1761005</v>
      </c>
      <c r="O16" s="27">
        <v>8154978.5099999998</v>
      </c>
      <c r="P16" s="32"/>
      <c r="Q16" s="31">
        <v>19</v>
      </c>
      <c r="R16" s="29">
        <v>355366.25</v>
      </c>
      <c r="T16" s="29">
        <v>0</v>
      </c>
      <c r="U16" s="32"/>
      <c r="V16" s="27">
        <f t="shared" si="0"/>
        <v>20351102.960000001</v>
      </c>
    </row>
    <row r="17" spans="1:22" x14ac:dyDescent="0.25">
      <c r="A17" s="5">
        <v>43647</v>
      </c>
      <c r="C17" s="27">
        <v>166444393.44</v>
      </c>
      <c r="D17" s="27">
        <v>3988847.26</v>
      </c>
      <c r="E17" s="27">
        <v>150734438.41</v>
      </c>
      <c r="F17" s="27">
        <v>11721107.77</v>
      </c>
      <c r="G17" s="33"/>
      <c r="H17" s="28">
        <v>1600</v>
      </c>
      <c r="I17" s="27">
        <v>236</v>
      </c>
      <c r="J17" s="27"/>
      <c r="K17" s="33"/>
      <c r="L17" s="32">
        <v>132</v>
      </c>
      <c r="M17" s="27">
        <v>55583721.75</v>
      </c>
      <c r="N17" s="27">
        <v>760925</v>
      </c>
      <c r="O17" s="27">
        <v>8615364</v>
      </c>
      <c r="P17" s="33"/>
      <c r="Q17" s="31">
        <v>19</v>
      </c>
      <c r="R17" s="29">
        <v>428414</v>
      </c>
      <c r="T17" s="29">
        <v>0</v>
      </c>
      <c r="U17" s="33"/>
      <c r="V17" s="27">
        <f t="shared" si="0"/>
        <v>20764885.77</v>
      </c>
    </row>
    <row r="18" spans="1:22" x14ac:dyDescent="0.25">
      <c r="A18" s="5">
        <v>43678</v>
      </c>
      <c r="C18" s="27">
        <v>167179749.75999999</v>
      </c>
      <c r="D18" s="27">
        <v>4108977.02</v>
      </c>
      <c r="E18" s="27">
        <v>151920495.94999999</v>
      </c>
      <c r="F18" s="27">
        <v>11150276.789999999</v>
      </c>
      <c r="G18" s="33"/>
      <c r="H18" s="28">
        <v>1600</v>
      </c>
      <c r="I18" s="27">
        <v>225</v>
      </c>
      <c r="J18" s="27"/>
      <c r="K18" s="33"/>
      <c r="L18" s="32">
        <v>132</v>
      </c>
      <c r="M18" s="27">
        <v>50263537</v>
      </c>
      <c r="N18" s="27">
        <v>310835</v>
      </c>
      <c r="O18" s="27">
        <v>10775422.5</v>
      </c>
      <c r="P18" s="33"/>
      <c r="Q18" s="31">
        <v>20</v>
      </c>
      <c r="R18" s="29">
        <v>464885.01</v>
      </c>
      <c r="T18" s="29">
        <v>67880.850000000006</v>
      </c>
      <c r="U18" s="33"/>
      <c r="V18" s="27">
        <f t="shared" si="0"/>
        <v>22458465.149999999</v>
      </c>
    </row>
    <row r="19" spans="1:22" x14ac:dyDescent="0.25">
      <c r="A19" s="5">
        <v>43709</v>
      </c>
      <c r="C19" s="27">
        <v>148298739.94999999</v>
      </c>
      <c r="D19" s="27">
        <v>3659655.7</v>
      </c>
      <c r="E19" s="27">
        <v>134162876.12</v>
      </c>
      <c r="F19" s="27">
        <v>10476208.130000001</v>
      </c>
      <c r="G19" s="33"/>
      <c r="H19" s="28">
        <v>1603</v>
      </c>
      <c r="I19" s="27">
        <v>218</v>
      </c>
      <c r="J19" s="27"/>
      <c r="K19" s="33"/>
      <c r="L19" s="32">
        <v>132</v>
      </c>
      <c r="M19" s="27">
        <v>38981021.049999997</v>
      </c>
      <c r="N19" s="27">
        <v>300935</v>
      </c>
      <c r="O19" s="27">
        <v>6961354.5499999998</v>
      </c>
      <c r="P19" s="33"/>
      <c r="Q19" s="31">
        <v>20</v>
      </c>
      <c r="R19" s="29">
        <v>377339</v>
      </c>
      <c r="T19" s="29">
        <v>381210.13</v>
      </c>
      <c r="U19" s="33"/>
      <c r="V19" s="27">
        <f t="shared" si="0"/>
        <v>18196111.809999999</v>
      </c>
    </row>
    <row r="20" spans="1:22" x14ac:dyDescent="0.25">
      <c r="A20" s="5">
        <v>43739</v>
      </c>
      <c r="C20" s="27">
        <v>142737709.94</v>
      </c>
      <c r="D20" s="27">
        <v>3893780.93</v>
      </c>
      <c r="E20" s="27">
        <v>129507846.56</v>
      </c>
      <c r="F20" s="27">
        <v>9336082.4499999993</v>
      </c>
      <c r="G20" s="33"/>
      <c r="H20" s="28">
        <v>1610</v>
      </c>
      <c r="I20" s="27">
        <v>187</v>
      </c>
      <c r="J20" s="27"/>
      <c r="K20" s="33"/>
      <c r="L20" s="32">
        <v>132</v>
      </c>
      <c r="M20" s="27">
        <v>37246769.100000001</v>
      </c>
      <c r="N20" s="27">
        <v>453240</v>
      </c>
      <c r="O20" s="27">
        <v>6192456.3499999996</v>
      </c>
      <c r="P20" s="33"/>
      <c r="Q20" s="31">
        <v>20</v>
      </c>
      <c r="R20" s="29">
        <v>367056.25</v>
      </c>
      <c r="T20" s="29">
        <v>506380.33</v>
      </c>
      <c r="U20" s="33"/>
      <c r="V20" s="27">
        <f t="shared" si="0"/>
        <v>16401975.379999999</v>
      </c>
    </row>
    <row r="21" spans="1:22" x14ac:dyDescent="0.25">
      <c r="A21" s="5">
        <v>43770</v>
      </c>
      <c r="C21" s="27">
        <v>149907304.69</v>
      </c>
      <c r="D21" s="27">
        <v>4527382.79</v>
      </c>
      <c r="E21" s="27">
        <v>135927101.63999999</v>
      </c>
      <c r="F21" s="27">
        <v>9452820.2599999998</v>
      </c>
      <c r="G21" s="33"/>
      <c r="H21" s="28">
        <v>1610</v>
      </c>
      <c r="I21" s="27">
        <v>196</v>
      </c>
      <c r="J21" s="27"/>
      <c r="K21" s="33"/>
      <c r="L21" s="32">
        <v>132</v>
      </c>
      <c r="M21" s="27">
        <v>42993747</v>
      </c>
      <c r="N21" s="27">
        <v>567375</v>
      </c>
      <c r="O21" s="27">
        <v>6774883</v>
      </c>
      <c r="P21" s="33"/>
      <c r="Q21" s="31">
        <v>20</v>
      </c>
      <c r="R21" s="29">
        <v>393073</v>
      </c>
      <c r="T21" s="29">
        <v>467356</v>
      </c>
      <c r="U21" s="33"/>
      <c r="V21" s="27">
        <f t="shared" si="0"/>
        <v>17088132.259999998</v>
      </c>
    </row>
    <row r="22" spans="1:22" x14ac:dyDescent="0.25">
      <c r="A22" s="5">
        <v>43800</v>
      </c>
      <c r="C22" s="27">
        <v>123423462.48</v>
      </c>
      <c r="D22" s="27">
        <v>3339015.91</v>
      </c>
      <c r="E22" s="27">
        <v>111658537.25</v>
      </c>
      <c r="F22" s="27">
        <v>8425909.3200000003</v>
      </c>
      <c r="G22" s="33"/>
      <c r="H22" s="28">
        <v>1610</v>
      </c>
      <c r="I22" s="27">
        <v>169</v>
      </c>
      <c r="J22" s="27"/>
      <c r="K22" s="33"/>
      <c r="L22" s="32">
        <v>132</v>
      </c>
      <c r="M22" s="27">
        <v>36958844.049999997</v>
      </c>
      <c r="N22" s="27">
        <v>559645</v>
      </c>
      <c r="O22" s="27">
        <v>7670539.0499999998</v>
      </c>
      <c r="P22" s="32"/>
      <c r="Q22" s="31">
        <v>20</v>
      </c>
      <c r="R22" s="29">
        <v>385255</v>
      </c>
      <c r="T22" s="29">
        <v>65235.78</v>
      </c>
      <c r="U22" s="32"/>
      <c r="V22" s="27">
        <f t="shared" si="0"/>
        <v>16546939.15</v>
      </c>
    </row>
    <row r="23" spans="1:22" x14ac:dyDescent="0.25">
      <c r="A23" s="5">
        <v>43831</v>
      </c>
      <c r="C23" s="27">
        <v>135928165.18000001</v>
      </c>
      <c r="D23" s="27">
        <v>3879950.02</v>
      </c>
      <c r="E23" s="27">
        <v>123553822.67</v>
      </c>
      <c r="F23" s="27">
        <v>8494392.4900000002</v>
      </c>
      <c r="G23" s="33"/>
      <c r="H23" s="28">
        <v>1610</v>
      </c>
      <c r="I23" s="27">
        <v>170</v>
      </c>
      <c r="J23" s="27"/>
      <c r="K23" s="33"/>
      <c r="L23" s="32">
        <v>132</v>
      </c>
      <c r="M23" s="27">
        <v>37428703.600000001</v>
      </c>
      <c r="N23" s="27">
        <v>614440</v>
      </c>
      <c r="O23" s="27">
        <v>6930820.0999999996</v>
      </c>
      <c r="P23" s="33"/>
      <c r="Q23" s="31">
        <v>20</v>
      </c>
      <c r="R23" s="29">
        <v>417787.35</v>
      </c>
      <c r="T23" s="29">
        <v>395658.96</v>
      </c>
      <c r="U23" s="33"/>
      <c r="V23" s="27">
        <f t="shared" si="0"/>
        <v>16238658.9</v>
      </c>
    </row>
    <row r="24" spans="1:22" x14ac:dyDescent="0.25">
      <c r="A24" s="5">
        <v>43862</v>
      </c>
      <c r="C24" s="27">
        <v>142398893.66</v>
      </c>
      <c r="D24" s="27">
        <v>3052015.29</v>
      </c>
      <c r="E24" s="27">
        <v>129106670.23</v>
      </c>
      <c r="F24" s="27">
        <v>10240208.140000001</v>
      </c>
      <c r="G24" s="33"/>
      <c r="H24" s="28">
        <v>1610</v>
      </c>
      <c r="I24" s="27">
        <v>219</v>
      </c>
      <c r="J24" s="27"/>
      <c r="K24" s="33"/>
      <c r="L24" s="32">
        <v>132</v>
      </c>
      <c r="M24" s="27">
        <v>36671389.350000001</v>
      </c>
      <c r="N24" s="27">
        <v>499220</v>
      </c>
      <c r="O24" s="27">
        <v>9075370.8499999996</v>
      </c>
      <c r="P24" s="33"/>
      <c r="Q24" s="31">
        <v>20</v>
      </c>
      <c r="R24" s="29">
        <v>403852</v>
      </c>
      <c r="T24" s="27">
        <v>-145007.70000000001</v>
      </c>
      <c r="U24" s="33"/>
      <c r="V24" s="27">
        <f t="shared" si="0"/>
        <v>19574423.290000003</v>
      </c>
    </row>
    <row r="25" spans="1:22" x14ac:dyDescent="0.25">
      <c r="A25" s="5">
        <v>43891</v>
      </c>
      <c r="C25" s="27">
        <v>55068177.180000007</v>
      </c>
      <c r="D25" s="27">
        <v>1110022.32</v>
      </c>
      <c r="E25" s="27">
        <v>49687543.240000002</v>
      </c>
      <c r="F25" s="27">
        <v>4270611.6199999992</v>
      </c>
      <c r="G25" s="33"/>
      <c r="H25" s="28">
        <v>1610</v>
      </c>
      <c r="I25" s="27">
        <v>165.78</v>
      </c>
      <c r="J25" s="27"/>
      <c r="K25" s="33"/>
      <c r="L25" s="32">
        <v>132</v>
      </c>
      <c r="M25" s="27">
        <v>15738442.550000001</v>
      </c>
      <c r="N25" s="27">
        <v>221345</v>
      </c>
      <c r="O25" s="27">
        <v>2524222.0499999998</v>
      </c>
      <c r="P25" s="33"/>
      <c r="Q25" s="31">
        <v>20</v>
      </c>
      <c r="R25" s="29">
        <v>173796</v>
      </c>
      <c r="T25" s="27">
        <v>-3303.75</v>
      </c>
      <c r="U25" s="33"/>
      <c r="V25" s="27">
        <f t="shared" si="0"/>
        <v>6965325.919999999</v>
      </c>
    </row>
    <row r="26" spans="1:22" ht="15.75" thickBot="1" x14ac:dyDescent="0.3">
      <c r="A26" s="5" t="s">
        <v>28</v>
      </c>
      <c r="C26" s="34">
        <f>SUM(C14:C25)</f>
        <v>1666586334.0500004</v>
      </c>
      <c r="D26" s="34">
        <f t="shared" ref="D26:E26" si="1">SUM(D14:D25)</f>
        <v>38958106</v>
      </c>
      <c r="E26" s="34">
        <f t="shared" si="1"/>
        <v>1512023675.24</v>
      </c>
      <c r="F26" s="34">
        <f>SUM(F14:F25)</f>
        <v>115604552.81</v>
      </c>
      <c r="G26" s="34"/>
      <c r="H26" s="35">
        <v>1624</v>
      </c>
      <c r="I26" s="34">
        <v>202.81</v>
      </c>
      <c r="J26" s="36"/>
      <c r="K26" s="27"/>
      <c r="L26" s="37">
        <v>132</v>
      </c>
      <c r="M26" s="34">
        <f>SUM(M14:M25)</f>
        <v>483140463.01000011</v>
      </c>
      <c r="N26" s="34">
        <f>SUM(N14:N25)</f>
        <v>9060200</v>
      </c>
      <c r="O26" s="34">
        <f>SUM(O14:O25)</f>
        <v>84202884.75999999</v>
      </c>
      <c r="P26" s="36"/>
      <c r="Q26" s="38">
        <v>20</v>
      </c>
      <c r="R26" s="34">
        <f>SUM(R14:R25)</f>
        <v>4492125.8599999994</v>
      </c>
      <c r="S26" s="36"/>
      <c r="T26" s="34">
        <f>SUM(T14:T25)</f>
        <v>1735410.6</v>
      </c>
      <c r="U26" s="36"/>
      <c r="V26" s="34">
        <f>SUM(V14:V25)</f>
        <v>206034974.02999997</v>
      </c>
    </row>
    <row r="27" spans="1:22" ht="10.5" customHeight="1" thickTop="1" x14ac:dyDescent="0.25">
      <c r="C27" s="39"/>
      <c r="D27" s="39"/>
      <c r="E27" s="39"/>
      <c r="F27" s="39"/>
      <c r="G27" s="39"/>
      <c r="H27" s="39"/>
      <c r="L27" s="40"/>
      <c r="M27" s="39"/>
      <c r="N27" s="39"/>
      <c r="O27" s="39"/>
      <c r="P27" s="39"/>
      <c r="Q27" s="40"/>
      <c r="R27" s="39"/>
      <c r="S27" s="39"/>
    </row>
    <row r="28" spans="1:22" s="44" customFormat="1" x14ac:dyDescent="0.25">
      <c r="A28" s="41"/>
      <c r="B28" s="41"/>
      <c r="C28" s="42"/>
      <c r="D28" s="43">
        <f>D26/$C$26</f>
        <v>2.337599031268139E-2</v>
      </c>
      <c r="E28" s="43">
        <f>E26/$C$26</f>
        <v>0.90725793458632598</v>
      </c>
      <c r="F28" s="43">
        <f>F26/$C$26</f>
        <v>6.9366075100992436E-2</v>
      </c>
      <c r="G28" s="43"/>
      <c r="H28" s="42"/>
      <c r="L28" s="42"/>
      <c r="M28" s="42"/>
      <c r="N28" s="42"/>
      <c r="O28" s="42">
        <f>O26/$M$26</f>
        <v>0.17428241103096584</v>
      </c>
      <c r="P28" s="42"/>
      <c r="Q28" s="42"/>
      <c r="R28" s="42"/>
      <c r="S28" s="42"/>
    </row>
    <row r="29" spans="1:22" s="44" customFormat="1" x14ac:dyDescent="0.25">
      <c r="A29" s="41"/>
      <c r="B29" s="41"/>
      <c r="C29" s="42"/>
      <c r="D29" s="42"/>
      <c r="E29" s="42"/>
      <c r="F29" s="42"/>
      <c r="G29" s="42"/>
      <c r="H29" s="42"/>
      <c r="L29" s="42"/>
      <c r="M29" s="42"/>
      <c r="N29" s="42"/>
      <c r="O29" s="42"/>
      <c r="P29" s="42"/>
      <c r="Q29" s="42"/>
      <c r="R29" s="42"/>
      <c r="S29" s="42"/>
    </row>
    <row r="30" spans="1:22" s="44" customFormat="1" x14ac:dyDescent="0.25">
      <c r="A30" s="93" t="s">
        <v>29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5"/>
    </row>
    <row r="31" spans="1:22" s="46" customForma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1:22" s="46" customFormat="1" x14ac:dyDescent="0.25">
      <c r="A32" s="45"/>
      <c r="B32" s="45"/>
      <c r="C32" s="45"/>
      <c r="D32" s="45"/>
      <c r="E32" s="45"/>
      <c r="F32" s="45"/>
      <c r="G32" s="45"/>
      <c r="H32" s="107" t="s">
        <v>30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45"/>
      <c r="T32" s="45"/>
      <c r="U32" s="45"/>
      <c r="V32" s="45"/>
    </row>
    <row r="33" spans="1:22" s="48" customFormat="1" ht="12" x14ac:dyDescent="0.2">
      <c r="F33" s="48" t="s">
        <v>31</v>
      </c>
      <c r="H33" s="49" t="s">
        <v>32</v>
      </c>
      <c r="I33" s="49" t="s">
        <v>33</v>
      </c>
      <c r="J33" s="49" t="s">
        <v>34</v>
      </c>
      <c r="K33" s="50"/>
      <c r="L33" s="50"/>
      <c r="M33" s="51"/>
      <c r="N33" s="51"/>
      <c r="O33" s="51"/>
      <c r="P33" s="51"/>
      <c r="Q33" s="51"/>
      <c r="R33" s="52"/>
      <c r="S33" s="52"/>
    </row>
    <row r="34" spans="1:22" s="48" customFormat="1" ht="12.75" customHeight="1" x14ac:dyDescent="0.2">
      <c r="C34" s="17" t="s">
        <v>35</v>
      </c>
      <c r="D34" s="48" t="s">
        <v>11</v>
      </c>
      <c r="E34" s="48" t="s">
        <v>36</v>
      </c>
      <c r="F34" s="48" t="s">
        <v>37</v>
      </c>
      <c r="H34" s="49" t="s">
        <v>38</v>
      </c>
      <c r="I34" s="49" t="s">
        <v>39</v>
      </c>
      <c r="J34" s="49" t="s">
        <v>40</v>
      </c>
      <c r="K34" s="50"/>
      <c r="L34" s="101" t="s">
        <v>41</v>
      </c>
      <c r="M34" s="101"/>
      <c r="N34" s="101"/>
      <c r="O34" s="101"/>
      <c r="P34" s="101"/>
      <c r="Q34" s="101"/>
      <c r="R34" s="101"/>
      <c r="S34" s="51"/>
      <c r="T34" s="51"/>
      <c r="U34" s="51"/>
      <c r="V34" s="51"/>
    </row>
    <row r="35" spans="1:22" s="48" customFormat="1" ht="12" x14ac:dyDescent="0.2">
      <c r="C35" s="24" t="s">
        <v>42</v>
      </c>
      <c r="D35" s="53" t="s">
        <v>43</v>
      </c>
      <c r="E35" s="53" t="s">
        <v>44</v>
      </c>
      <c r="F35" s="53" t="s">
        <v>45</v>
      </c>
      <c r="G35" s="52"/>
      <c r="H35" s="54" t="s">
        <v>46</v>
      </c>
      <c r="I35" s="54" t="s">
        <v>47</v>
      </c>
      <c r="J35" s="54" t="s">
        <v>48</v>
      </c>
      <c r="K35" s="76"/>
      <c r="L35" s="76" t="s">
        <v>49</v>
      </c>
      <c r="M35" s="76" t="s">
        <v>50</v>
      </c>
      <c r="N35" s="76" t="s">
        <v>51</v>
      </c>
      <c r="O35" s="76" t="s">
        <v>52</v>
      </c>
      <c r="P35" s="56"/>
      <c r="Q35" s="76" t="s">
        <v>53</v>
      </c>
      <c r="R35" s="57" t="s">
        <v>54</v>
      </c>
      <c r="S35" s="52"/>
      <c r="T35" s="52"/>
      <c r="U35" s="52"/>
    </row>
    <row r="36" spans="1:22" s="44" customFormat="1" x14ac:dyDescent="0.25">
      <c r="A36" s="5">
        <v>43556</v>
      </c>
      <c r="B36" s="41"/>
      <c r="C36" s="36">
        <f>(F14*0.61)+(O14+R14+T14)*0.9</f>
        <v>12632534.2827</v>
      </c>
      <c r="D36" s="36">
        <f>(F14*0.39)+(O14+R14+T14)*0.1</f>
        <v>4327070.7873</v>
      </c>
      <c r="E36" s="27">
        <v>16952.509999999998</v>
      </c>
      <c r="F36" s="27">
        <v>-2500</v>
      </c>
      <c r="H36" s="27">
        <f>F14*0.39*0.8+(O14+R14+T14)*0.1*0.8+((E36+F36)*0.8)</f>
        <v>3473218.6378400004</v>
      </c>
      <c r="I36" s="36">
        <f>(F14*0.39*0.05+(O14+R14+T14)*0.1*0.05+((E36+F36)*0.05))</f>
        <v>217076.16486500003</v>
      </c>
      <c r="J36" s="36">
        <f>F14*0.39*0.05+(O14+R14+T14)*0.1*0.05+(E36+F36)*0.05</f>
        <v>217076.16486500003</v>
      </c>
      <c r="K36" s="27"/>
      <c r="L36" s="36">
        <f>(F14*0.39*0.1+(O14+R14+T14)*0.1*0.1)*63096/1013091+((E36+F36)*0.1*63096/1013091)</f>
        <v>27039.303869686028</v>
      </c>
      <c r="M36" s="36">
        <f>(F14*0.39*0.1+(O14+R14+T14)*0.1*0.1)*47980/1013091+((E36+F36)*0.1*47980/1013091)</f>
        <v>20561.458724285781</v>
      </c>
      <c r="N36" s="36">
        <f>(F14*0.39*0.1+(O14+R14+T14)*0.1*0.1)*297488/1013091+((E36+F36)*0.1*297488/1013091)</f>
        <v>127486.1865979643</v>
      </c>
      <c r="O36" s="36">
        <f>(F14*0.39*0.1+(O14+R14+T14)*0.1*0.1)*49221/1013091+((E36+F36)*0.1*49221/1013091)</f>
        <v>21093.279697125265</v>
      </c>
      <c r="P36" s="58"/>
      <c r="Q36" s="36">
        <f>(F14*0.39*0.1+(O14+R14+T14)*0.1*0.1)*372813/1013091+((E36+F36)*0.1*372813/1013091)</f>
        <v>159766.13404287523</v>
      </c>
      <c r="R36" s="36">
        <f>(F14*0.39*0.1+(O14+R14+T14)*0.1*0.1)*182493/1013091+((E36+F36)*0.1*182493/1013091)</f>
        <v>78205.966798063455</v>
      </c>
      <c r="S36" s="36"/>
      <c r="T36" s="27"/>
      <c r="U36" s="27"/>
    </row>
    <row r="37" spans="1:22" s="44" customFormat="1" x14ac:dyDescent="0.25">
      <c r="A37" s="5">
        <v>43586</v>
      </c>
      <c r="B37" s="41"/>
      <c r="C37" s="36">
        <f t="shared" ref="C37:C45" si="2">(F15*0.61)+(O15+R15+T15)*0.9</f>
        <v>9814632.2976999991</v>
      </c>
      <c r="D37" s="36">
        <f t="shared" ref="D37:D45" si="3">(F15*0.39)+(O15+R15+T15)*0.1</f>
        <v>4674716.0723000001</v>
      </c>
      <c r="E37" s="27">
        <v>16536.96</v>
      </c>
      <c r="F37" s="27">
        <v>0</v>
      </c>
      <c r="H37" s="27">
        <f t="shared" ref="H37:H45" si="4">F15*0.39*0.8+(O15+R15+T15)*0.1*0.8+((E37+F37)*0.8)</f>
        <v>3753002.4258400006</v>
      </c>
      <c r="I37" s="36">
        <f t="shared" ref="I37:I45" si="5">(F15*0.39*0.05+(O15+R15+T15)*0.1*0.05+((E37+F37)*0.05))</f>
        <v>234562.65161500004</v>
      </c>
      <c r="J37" s="36">
        <f t="shared" ref="J37:J45" si="6">F15*0.39*0.05+(O15+R15+T15)*0.1*0.05+(E37+F37)*0.05</f>
        <v>234562.65161500004</v>
      </c>
      <c r="K37" s="27"/>
      <c r="L37" s="36">
        <f t="shared" ref="L37:L45" si="7">(F15*0.39*0.1+(O15+R15+T15)*0.1*0.1)*63096/1013091+((E37+F37)*0.1*63096/1013091)</f>
        <v>29217.444565789334</v>
      </c>
      <c r="M37" s="36">
        <f t="shared" ref="M37:M45" si="8">(F15*0.39*0.1+(O15+R15+T15)*0.1*0.1)*47980/1013091+((E37+F37)*0.1*47980/1013091)</f>
        <v>22217.779102741417</v>
      </c>
      <c r="N37" s="36">
        <f t="shared" ref="N37:N45" si="9">(F15*0.39*0.1+(O15+R15+T15)*0.1*0.1)*297488/1013091+((E37+F37)*0.1*297488/1013091)</f>
        <v>137755.78719708917</v>
      </c>
      <c r="O37" s="36">
        <f t="shared" ref="O37:O45" si="10">(F15*0.39*0.1+(O15+R15+T15)*0.1*0.1)*49221/1013091+((E37+F37)*0.1*49221/1013091)</f>
        <v>22792.440708962804</v>
      </c>
      <c r="P37" s="36"/>
      <c r="Q37" s="36">
        <f t="shared" ref="Q37:Q45" si="11">(F15*0.39*0.1+(O15+R15+T15)*0.1*0.1)*372813/1013091+((E37+F37)*0.1*372813/1013091)</f>
        <v>172636.03336036546</v>
      </c>
      <c r="R37" s="36">
        <f t="shared" ref="R37:R45" si="12">(F15*0.39*0.1+(O15+R15+T15)*0.1*0.1)*182493/1013091+((E37+F37)*0.1*182493/1013091)</f>
        <v>84505.818295051882</v>
      </c>
      <c r="S37" s="36"/>
      <c r="T37" s="27"/>
      <c r="U37" s="27"/>
    </row>
    <row r="38" spans="1:22" s="44" customFormat="1" x14ac:dyDescent="0.25">
      <c r="A38" s="5">
        <v>43617</v>
      </c>
      <c r="B38" s="41"/>
      <c r="C38" s="36">
        <f t="shared" si="2"/>
        <v>14882172.785999998</v>
      </c>
      <c r="D38" s="36">
        <f t="shared" si="3"/>
        <v>5468930.1739999996</v>
      </c>
      <c r="E38" s="27">
        <v>18873.2</v>
      </c>
      <c r="F38" s="27">
        <v>0</v>
      </c>
      <c r="H38" s="27">
        <f t="shared" si="4"/>
        <v>4390242.6991999997</v>
      </c>
      <c r="I38" s="36">
        <f t="shared" si="5"/>
        <v>274390.16869999998</v>
      </c>
      <c r="J38" s="36">
        <f t="shared" si="6"/>
        <v>274390.16869999998</v>
      </c>
      <c r="K38" s="27"/>
      <c r="L38" s="36">
        <f t="shared" si="7"/>
        <v>34178.414543797546</v>
      </c>
      <c r="M38" s="36">
        <f t="shared" si="8"/>
        <v>25990.242326160238</v>
      </c>
      <c r="N38" s="36">
        <f t="shared" si="9"/>
        <v>161146.00269122043</v>
      </c>
      <c r="O38" s="36">
        <f t="shared" si="10"/>
        <v>26662.478481365837</v>
      </c>
      <c r="P38" s="36"/>
      <c r="Q38" s="36">
        <f t="shared" si="11"/>
        <v>201948.73306258392</v>
      </c>
      <c r="R38" s="36">
        <f t="shared" si="12"/>
        <v>98854.466294872036</v>
      </c>
      <c r="S38" s="36"/>
      <c r="T38" s="27"/>
      <c r="U38" s="27"/>
    </row>
    <row r="39" spans="1:22" s="44" customFormat="1" x14ac:dyDescent="0.25">
      <c r="A39" s="5">
        <v>43647</v>
      </c>
      <c r="B39" s="41"/>
      <c r="C39" s="36">
        <f t="shared" si="2"/>
        <v>15289275.9397</v>
      </c>
      <c r="D39" s="36">
        <f t="shared" si="3"/>
        <v>5475609.8302999996</v>
      </c>
      <c r="E39" s="27">
        <v>22849.39</v>
      </c>
      <c r="F39" s="27">
        <v>0</v>
      </c>
      <c r="H39" s="27">
        <f t="shared" si="4"/>
        <v>4398767.3762400001</v>
      </c>
      <c r="I39" s="36">
        <f t="shared" si="5"/>
        <v>274922.96101500001</v>
      </c>
      <c r="J39" s="36">
        <f t="shared" si="6"/>
        <v>274922.96101500001</v>
      </c>
      <c r="K39" s="27"/>
      <c r="L39" s="36">
        <f t="shared" si="7"/>
        <v>34244.779882957089</v>
      </c>
      <c r="M39" s="36">
        <f t="shared" si="8"/>
        <v>26040.708425007622</v>
      </c>
      <c r="N39" s="36">
        <f t="shared" si="9"/>
        <v>161458.905125858</v>
      </c>
      <c r="O39" s="36">
        <f t="shared" si="10"/>
        <v>26714.249883020017</v>
      </c>
      <c r="P39" s="36"/>
      <c r="Q39" s="36">
        <f t="shared" si="11"/>
        <v>202340.86348587679</v>
      </c>
      <c r="R39" s="36">
        <f t="shared" si="12"/>
        <v>99046.415227280464</v>
      </c>
      <c r="S39" s="36"/>
      <c r="T39" s="27"/>
      <c r="U39" s="27"/>
      <c r="V39" s="59"/>
    </row>
    <row r="40" spans="1:22" s="44" customFormat="1" x14ac:dyDescent="0.25">
      <c r="A40" s="5">
        <v>43678</v>
      </c>
      <c r="B40" s="41"/>
      <c r="C40" s="36">
        <f t="shared" si="2"/>
        <v>16979038.365899999</v>
      </c>
      <c r="D40" s="36">
        <f t="shared" si="3"/>
        <v>5479426.7840999998</v>
      </c>
      <c r="E40" s="27">
        <v>15731.81</v>
      </c>
      <c r="F40" s="27">
        <v>0</v>
      </c>
      <c r="H40" s="27">
        <f t="shared" si="4"/>
        <v>4396126.8752799993</v>
      </c>
      <c r="I40" s="36">
        <f t="shared" si="5"/>
        <v>274757.92970499996</v>
      </c>
      <c r="J40" s="36">
        <f t="shared" si="6"/>
        <v>274757.92970499996</v>
      </c>
      <c r="K40" s="27"/>
      <c r="L40" s="36">
        <f t="shared" si="7"/>
        <v>34224.223357362134</v>
      </c>
      <c r="M40" s="36">
        <f t="shared" si="8"/>
        <v>26025.076655988254</v>
      </c>
      <c r="N40" s="36">
        <f t="shared" si="9"/>
        <v>161361.98424836667</v>
      </c>
      <c r="O40" s="36">
        <f t="shared" si="10"/>
        <v>26698.213799174613</v>
      </c>
      <c r="P40" s="36"/>
      <c r="Q40" s="36">
        <f t="shared" si="11"/>
        <v>202219.40190389639</v>
      </c>
      <c r="R40" s="36">
        <f t="shared" si="12"/>
        <v>98986.959445211847</v>
      </c>
      <c r="S40" s="36"/>
      <c r="T40" s="27"/>
      <c r="U40" s="27"/>
      <c r="V40" s="31"/>
    </row>
    <row r="41" spans="1:22" s="44" customFormat="1" x14ac:dyDescent="0.25">
      <c r="A41" s="5">
        <v>43709</v>
      </c>
      <c r="B41" s="41"/>
      <c r="C41" s="36">
        <f t="shared" si="2"/>
        <v>13338400.271299999</v>
      </c>
      <c r="D41" s="36">
        <f t="shared" si="3"/>
        <v>4857711.5387000004</v>
      </c>
      <c r="E41" s="27">
        <v>13710.13</v>
      </c>
      <c r="F41" s="27">
        <v>0</v>
      </c>
      <c r="G41" s="33"/>
      <c r="H41" s="27">
        <f t="shared" si="4"/>
        <v>3897137.3349600006</v>
      </c>
      <c r="I41" s="36">
        <f t="shared" si="5"/>
        <v>243571.08343500004</v>
      </c>
      <c r="J41" s="36">
        <f t="shared" si="6"/>
        <v>243571.08343500004</v>
      </c>
      <c r="K41" s="27"/>
      <c r="L41" s="36">
        <f t="shared" si="7"/>
        <v>30339.54714910065</v>
      </c>
      <c r="M41" s="36">
        <f t="shared" si="8"/>
        <v>23071.057946840516</v>
      </c>
      <c r="N41" s="36">
        <f t="shared" si="9"/>
        <v>143046.32943913486</v>
      </c>
      <c r="O41" s="36">
        <f t="shared" si="10"/>
        <v>23667.789562347578</v>
      </c>
      <c r="P41" s="36"/>
      <c r="Q41" s="36">
        <f t="shared" si="11"/>
        <v>179266.15936505739</v>
      </c>
      <c r="R41" s="36">
        <f t="shared" si="12"/>
        <v>87751.283407519091</v>
      </c>
      <c r="S41" s="36"/>
      <c r="T41" s="27"/>
      <c r="U41" s="27"/>
    </row>
    <row r="42" spans="1:22" s="44" customFormat="1" x14ac:dyDescent="0.25">
      <c r="A42" s="5">
        <v>43739</v>
      </c>
      <c r="B42" s="41"/>
      <c r="C42" s="36">
        <f t="shared" ref="C42" si="13">(F20*0.61)+(O20+R20+T20)*0.9</f>
        <v>12054313.931499999</v>
      </c>
      <c r="D42" s="36">
        <f t="shared" ref="D42" si="14">(F20*0.39)+(O20+R20+T20)*0.1</f>
        <v>4347661.4484999999</v>
      </c>
      <c r="E42" s="27">
        <v>14554.36</v>
      </c>
      <c r="F42" s="27">
        <v>1000</v>
      </c>
      <c r="G42" s="33"/>
      <c r="H42" s="27">
        <f t="shared" ref="H42" si="15">F20*0.39*0.8+(O20+R20+T20)*0.1*0.8+((E42+F42)*0.8)</f>
        <v>3490572.6468000002</v>
      </c>
      <c r="I42" s="36">
        <f t="shared" ref="I42" si="16">(F20*0.39*0.05+(O20+R20+T20)*0.1*0.05+((E42+F42)*0.05))</f>
        <v>218160.79042500001</v>
      </c>
      <c r="J42" s="36">
        <f t="shared" ref="J42" si="17">F20*0.39*0.05+(O20+R20+T20)*0.1*0.05+(E42+F42)*0.05</f>
        <v>218160.79042500001</v>
      </c>
      <c r="K42" s="27"/>
      <c r="L42" s="36">
        <f t="shared" ref="L42" si="18">(F20*0.39*0.1+(O20+R20+T20)*0.1*0.1)*63096/1013091+((E42+F42)*0.1*63096/1013091)</f>
        <v>27174.406312277573</v>
      </c>
      <c r="M42" s="36">
        <f t="shared" ref="M42" si="19">(F20*0.39*0.1+(O20+R20+T20)*0.1*0.1)*47980/1013091+((E42+F42)*0.1*47980/1013091)</f>
        <v>20664.194479255075</v>
      </c>
      <c r="N42" s="36">
        <f t="shared" ref="N42" si="20">(F20*0.39*0.1+(O20+R20+T20)*0.1*0.1)*297488/1013091+((E42+F42)*0.1*297488/1013091)</f>
        <v>128123.17397341879</v>
      </c>
      <c r="O42" s="36">
        <f t="shared" ref="O42" si="21">(F20*0.39*0.1+(O20+R20+T20)*0.1*0.1)*49221/1013091+((E42+F42)*0.1*49221/1013091)</f>
        <v>21198.672706615551</v>
      </c>
      <c r="P42" s="36"/>
      <c r="Q42" s="36">
        <f t="shared" ref="Q42" si="22">(F20*0.39*0.1+(O20+R20+T20)*0.1*0.1)*372813/1013091+((E42+F42)*0.1*372813/1013091)</f>
        <v>160564.40884523807</v>
      </c>
      <c r="R42" s="36">
        <f t="shared" ref="R42" si="23">(F20*0.39*0.1+(O20+R20+T20)*0.1*0.1)*182493/1013091+((E42+F42)*0.1*182493/1013091)</f>
        <v>78596.724533195011</v>
      </c>
      <c r="S42" s="36"/>
      <c r="T42" s="27"/>
      <c r="U42" s="27"/>
    </row>
    <row r="43" spans="1:22" s="44" customFormat="1" x14ac:dyDescent="0.25">
      <c r="A43" s="5">
        <v>43770</v>
      </c>
      <c r="B43" s="41"/>
      <c r="C43" s="36">
        <f t="shared" ref="C43" si="24">(F21*0.61)+(O21+R21+T21)*0.9</f>
        <v>12638001.158599999</v>
      </c>
      <c r="D43" s="36">
        <f t="shared" ref="D43" si="25">(F21*0.39)+(O21+R21+T21)*0.1</f>
        <v>4450131.1014</v>
      </c>
      <c r="E43" s="27">
        <v>12174.37</v>
      </c>
      <c r="F43" s="27">
        <v>0</v>
      </c>
      <c r="G43" s="33"/>
      <c r="H43" s="27">
        <f t="shared" ref="H43" si="26">F21*0.39*0.8+(O21+R21+T21)*0.1*0.8+((E43+F43)*0.8)</f>
        <v>3569844.3771199998</v>
      </c>
      <c r="I43" s="36">
        <f t="shared" ref="I43" si="27">(F21*0.39*0.05+(O21+R21+T21)*0.1*0.05+((E43+F43)*0.05))</f>
        <v>223115.27356999999</v>
      </c>
      <c r="J43" s="36">
        <f t="shared" ref="J43" si="28">F21*0.39*0.05+(O21+R21+T21)*0.1*0.05+(E43+F43)*0.05</f>
        <v>223115.27356999999</v>
      </c>
      <c r="K43" s="27"/>
      <c r="L43" s="36">
        <f t="shared" ref="L43" si="29">(F21*0.39*0.1+(O21+R21+T21)*0.1*0.1)*63096/1013091+((E43+F43)*0.1*63096/1013091)</f>
        <v>27791.54350630441</v>
      </c>
      <c r="M43" s="36">
        <f t="shared" ref="M43" si="30">(F21*0.39*0.1+(O21+R21+T21)*0.1*0.1)*47980/1013091+((E43+F43)*0.1*47980/1013091)</f>
        <v>21133.483222906136</v>
      </c>
      <c r="N43" s="36">
        <f t="shared" ref="N43" si="31">(F21*0.39*0.1+(O21+R21+T21)*0.1*0.1)*297488/1013091+((E43+F43)*0.1*297488/1013091)</f>
        <v>131032.8815551459</v>
      </c>
      <c r="O43" s="36">
        <f t="shared" ref="O43" si="32">(F21*0.39*0.1+(O21+R21+T21)*0.1*0.1)*49221/1013091+((E43+F43)*0.1*49221/1013091)</f>
        <v>21680.099577212648</v>
      </c>
      <c r="P43" s="36"/>
      <c r="Q43" s="36">
        <f t="shared" ref="Q43" si="33">(F21*0.39*0.1+(O21+R21+T21)*0.1*0.1)*372813/1013091+((E43+F43)*0.1*372813/1013091)</f>
        <v>164210.86454317017</v>
      </c>
      <c r="R43" s="36">
        <f t="shared" ref="R43" si="34">(F21*0.39*0.1+(O21+R21+T21)*0.1*0.1)*182493/1013091+((E43+F43)*0.1*182493/1013091)</f>
        <v>80381.674735260734</v>
      </c>
      <c r="S43" s="36"/>
      <c r="T43" s="27"/>
      <c r="U43" s="27"/>
    </row>
    <row r="44" spans="1:22" s="44" customFormat="1" x14ac:dyDescent="0.25">
      <c r="A44" s="5">
        <v>43800</v>
      </c>
      <c r="B44" s="41"/>
      <c r="C44" s="36">
        <f t="shared" ref="C44" si="35">(F22*0.61)+(O22+R22+T22)*0.9</f>
        <v>12448731.532200001</v>
      </c>
      <c r="D44" s="36">
        <f t="shared" ref="D44" si="36">(F22*0.39)+(O22+R22+T22)*0.1</f>
        <v>4098207.6178000001</v>
      </c>
      <c r="E44" s="27">
        <v>9083.27</v>
      </c>
      <c r="F44" s="27">
        <v>0</v>
      </c>
      <c r="G44" s="33"/>
      <c r="H44" s="27">
        <f t="shared" ref="H44" si="37">F22*0.39*0.8+(O22+R22+T22)*0.1*0.8+((E44+F44)*0.8)</f>
        <v>3285832.7102400004</v>
      </c>
      <c r="I44" s="36">
        <f t="shared" ref="I44" si="38">(F22*0.39*0.05+(O22+R22+T22)*0.1*0.05+((E44+F44)*0.05))</f>
        <v>205364.54439000002</v>
      </c>
      <c r="J44" s="36">
        <f t="shared" ref="J44" si="39">F22*0.39*0.05+(O22+R22+T22)*0.1*0.05+(E44+F44)*0.05</f>
        <v>205364.54439000002</v>
      </c>
      <c r="K44" s="27"/>
      <c r="L44" s="36">
        <f t="shared" ref="L44" si="40">(F22*0.39*0.1+(O22+R22+T22)*0.1*0.1)*63096/1013091+((E44+F44)*0.1*63096/1013091)</f>
        <v>25580.488411863185</v>
      </c>
      <c r="M44" s="36">
        <f t="shared" ref="M44" si="41">(F22*0.39*0.1+(O22+R22+T22)*0.1*0.1)*47980/1013091+((E44+F44)*0.1*47980/1013091)</f>
        <v>19452.133796139147</v>
      </c>
      <c r="N44" s="36">
        <f t="shared" ref="N44" si="42">(F22*0.39*0.1+(O22+R22+T22)*0.1*0.1)*297488/1013091+((E44+F44)*0.1*297488/1013091)</f>
        <v>120608.09459662031</v>
      </c>
      <c r="O44" s="36">
        <f t="shared" ref="O44" si="43">(F22*0.39*0.1+(O22+R22+T22)*0.1*0.1)*49221/1013091+((E44+F44)*0.1*49221/1013091)</f>
        <v>19955.262142137661</v>
      </c>
      <c r="P44" s="36"/>
      <c r="Q44" s="36">
        <f t="shared" ref="Q44" si="44">(F22*0.39*0.1+(O22+R22+T22)*0.1*0.1)*372813/1013091+((E44+F44)*0.1*372813/1013091)</f>
        <v>151146.48513839146</v>
      </c>
      <c r="R44" s="36">
        <f t="shared" ref="R44" si="45">(F22*0.39*0.1+(O22+R22+T22)*0.1*0.1)*182493/1013091+((E44+F44)*0.1*182493/1013091)</f>
        <v>73986.624694848288</v>
      </c>
      <c r="S44" s="36"/>
      <c r="T44" s="33"/>
      <c r="U44" s="33"/>
    </row>
    <row r="45" spans="1:22" s="44" customFormat="1" x14ac:dyDescent="0.25">
      <c r="A45" s="5">
        <v>43831</v>
      </c>
      <c r="B45" s="41"/>
      <c r="C45" s="36">
        <f t="shared" si="2"/>
        <v>12151419.187899999</v>
      </c>
      <c r="D45" s="36">
        <f t="shared" si="3"/>
        <v>4087239.7121000001</v>
      </c>
      <c r="E45" s="27">
        <v>12717.63</v>
      </c>
      <c r="F45" s="27">
        <v>0</v>
      </c>
      <c r="G45" s="33"/>
      <c r="H45" s="27">
        <f t="shared" si="4"/>
        <v>3279965.8736800002</v>
      </c>
      <c r="I45" s="36">
        <f t="shared" si="5"/>
        <v>204997.86710500001</v>
      </c>
      <c r="J45" s="36">
        <f t="shared" si="6"/>
        <v>204997.86710500001</v>
      </c>
      <c r="K45" s="27"/>
      <c r="L45" s="36">
        <f t="shared" si="7"/>
        <v>25534.814587943394</v>
      </c>
      <c r="M45" s="36">
        <f t="shared" si="8"/>
        <v>19417.402116291432</v>
      </c>
      <c r="N45" s="36">
        <f t="shared" si="9"/>
        <v>120392.74949502513</v>
      </c>
      <c r="O45" s="36">
        <f t="shared" si="10"/>
        <v>19919.632129345158</v>
      </c>
      <c r="P45" s="36"/>
      <c r="Q45" s="36">
        <f t="shared" si="11"/>
        <v>150876.61390539719</v>
      </c>
      <c r="R45" s="36">
        <f t="shared" si="12"/>
        <v>73854.521975997748</v>
      </c>
      <c r="S45" s="60"/>
      <c r="T45" s="33"/>
      <c r="U45" s="33"/>
    </row>
    <row r="46" spans="1:22" s="44" customFormat="1" x14ac:dyDescent="0.25">
      <c r="A46" s="5">
        <v>43862</v>
      </c>
      <c r="B46" s="41"/>
      <c r="C46" s="36">
        <f t="shared" ref="C46" si="46">(F24*0.61)+(O24+R24+T24)*0.9</f>
        <v>14647320.600400001</v>
      </c>
      <c r="D46" s="36">
        <f t="shared" ref="D46" si="47">(F24*0.39)+(O24+R24+T24)*0.1</f>
        <v>4927102.6896000002</v>
      </c>
      <c r="E46" s="27">
        <v>10735.18</v>
      </c>
      <c r="F46" s="27">
        <v>0</v>
      </c>
      <c r="G46" s="33"/>
      <c r="H46" s="27">
        <f t="shared" ref="H46" si="48">F24*0.39*0.8+(O24+R24+T24)*0.1*0.8+((E46+F46)*0.8)</f>
        <v>3950270.2956800009</v>
      </c>
      <c r="I46" s="36">
        <f t="shared" ref="I46" si="49">(F24*0.39*0.05+(O24+R24+T24)*0.1*0.05+((E46+F46)*0.05))</f>
        <v>246891.89348000006</v>
      </c>
      <c r="J46" s="36">
        <f t="shared" ref="J46" si="50">F24*0.39*0.05+(O24+R24+T24)*0.1*0.05+(E46+F46)*0.05</f>
        <v>246891.89348000006</v>
      </c>
      <c r="K46" s="27"/>
      <c r="L46" s="36">
        <f t="shared" ref="L46" si="51">(F24*0.39*0.1+(O24+R24+T24)*0.1*0.1)*63096/1013091+((E46+F46)*0.1*63096/1013091)</f>
        <v>30753.191788327178</v>
      </c>
      <c r="M46" s="36">
        <f t="shared" ref="M46" si="52">(F24*0.39*0.1+(O24+R24+T24)*0.1*0.1)*47980/1013091+((E46+F46)*0.1*47980/1013091)</f>
        <v>23385.605141434291</v>
      </c>
      <c r="N46" s="36">
        <f t="shared" ref="N46" si="53">(F24*0.39*0.1+(O24+R24+T24)*0.1*0.1)*297488/1013091+((E46+F46)*0.1*297488/1013091)</f>
        <v>144996.60071519393</v>
      </c>
      <c r="O46" s="36">
        <f t="shared" ref="O46" si="54">(F24*0.39*0.1+(O24+R24+T24)*0.1*0.1)*49221/1013091+((E46+F46)*0.1*49221/1013091)</f>
        <v>23990.472502428871</v>
      </c>
      <c r="P46" s="27"/>
      <c r="Q46" s="36">
        <f t="shared" ref="Q46" si="55">(F24*0.39*0.1+(O24+R24+T24)*0.1*0.1)*372813/1013091+((E46+F46)*0.1*372813/1013091)</f>
        <v>181710.24613575535</v>
      </c>
      <c r="R46" s="36">
        <f t="shared" ref="R46" si="56">(F24*0.39*0.1+(O24+R24+T24)*0.1*0.1)*182493/1013091+((E46+F46)*0.1*182493/1013091)</f>
        <v>88947.670676860536</v>
      </c>
      <c r="S46" s="60"/>
      <c r="T46" s="33"/>
      <c r="U46" s="33"/>
    </row>
    <row r="47" spans="1:22" s="44" customFormat="1" x14ac:dyDescent="0.25">
      <c r="A47" s="5">
        <v>43891</v>
      </c>
      <c r="B47" s="41"/>
      <c r="C47" s="36">
        <f t="shared" ref="C47" si="57">(F25*0.61)+(O25+R25+T25)*0.9</f>
        <v>5030315.9582000002</v>
      </c>
      <c r="D47" s="36">
        <f t="shared" ref="D47" si="58">(F25*0.39)+(O25+R25+T25)*0.1</f>
        <v>1935009.9617999997</v>
      </c>
      <c r="E47" s="27">
        <v>6519.92</v>
      </c>
      <c r="F47" s="27">
        <v>0</v>
      </c>
      <c r="G47" s="33"/>
      <c r="H47" s="27">
        <f t="shared" ref="H47" si="59">F25*0.39*0.8+(O25+R25+T25)*0.1*0.8+((E47+F47)*0.8)</f>
        <v>1553223.9054399999</v>
      </c>
      <c r="I47" s="36">
        <f t="shared" ref="I47" si="60">(F25*0.39*0.05+(O25+R25+T25)*0.1*0.05+((E47+F47)*0.05))</f>
        <v>97076.494089999993</v>
      </c>
      <c r="J47" s="36">
        <f t="shared" ref="J47" si="61">F25*0.39*0.05+(O25+R25+T25)*0.1*0.05+(E47+F47)*0.05</f>
        <v>97076.494089999993</v>
      </c>
      <c r="K47" s="27"/>
      <c r="L47" s="36">
        <f t="shared" ref="L47" si="62">(F25*0.39*0.1+(O25+R25+T25)*0.1*0.1)*63096/1013091+((E47+F47)*0.1*63096/1013091)</f>
        <v>12091.980821273983</v>
      </c>
      <c r="M47" s="36">
        <f t="shared" ref="M47" si="63">(F25*0.39*0.1+(O25+R25+T25)*0.1*0.1)*47980/1013091+((E47+F47)*0.1*47980/1013091)</f>
        <v>9195.0874826411437</v>
      </c>
      <c r="N47" s="36">
        <f t="shared" ref="N47" si="64">(F25*0.39*0.1+(O25+R25+T25)*0.1*0.1)*297488/1013091+((E47+F47)*0.1*297488/1013091)</f>
        <v>57011.842122466616</v>
      </c>
      <c r="O47" s="36">
        <f t="shared" ref="O47" si="65">(F25*0.39*0.1+(O25+R25+T25)*0.1*0.1)*49221/1013091+((E47+F47)*0.1*49221/1013091)</f>
        <v>9432.9179029403858</v>
      </c>
      <c r="P47" s="27"/>
      <c r="Q47" s="36">
        <f t="shared" ref="Q47" si="66">(F25*0.39*0.1+(O25+R25+T25)*0.1*0.1)*372813/1013091+((E47+F47)*0.1*372813/1013091)</f>
        <v>71447.439551185758</v>
      </c>
      <c r="R47" s="36">
        <f t="shared" ref="R47" si="67">(F25*0.39*0.1+(O25+R25+T25)*0.1*0.1)*182493/1013091+((E47+F47)*0.1*182493/1013091)</f>
        <v>34973.720299492088</v>
      </c>
      <c r="S47" s="60"/>
      <c r="T47" s="33"/>
      <c r="U47" s="33"/>
    </row>
    <row r="48" spans="1:22" s="44" customFormat="1" ht="15.75" thickBot="1" x14ac:dyDescent="0.3">
      <c r="A48" s="5" t="s">
        <v>28</v>
      </c>
      <c r="B48" s="41"/>
      <c r="C48" s="61">
        <f>SUM(C36:C47)</f>
        <v>151906156.31210002</v>
      </c>
      <c r="D48" s="61">
        <f t="shared" ref="D48:E48" si="68">SUM(D36:D47)</f>
        <v>54128817.717899993</v>
      </c>
      <c r="E48" s="61">
        <f t="shared" si="68"/>
        <v>170438.73</v>
      </c>
      <c r="F48" s="34">
        <f>SUM(F36:F47)</f>
        <v>-1500</v>
      </c>
      <c r="G48" s="39"/>
      <c r="H48" s="61">
        <f>SUM(H36:H47)</f>
        <v>43438205.15832001</v>
      </c>
      <c r="I48" s="61">
        <f t="shared" ref="I48:R48" si="69">SUM(I36:I47)</f>
        <v>2714887.8223950006</v>
      </c>
      <c r="J48" s="61">
        <f t="shared" si="69"/>
        <v>2714887.8223950006</v>
      </c>
      <c r="K48" s="61"/>
      <c r="L48" s="61">
        <f t="shared" si="69"/>
        <v>338170.13879668253</v>
      </c>
      <c r="M48" s="61">
        <f t="shared" si="69"/>
        <v>257154.22941969102</v>
      </c>
      <c r="N48" s="61">
        <f t="shared" si="69"/>
        <v>1594420.537757504</v>
      </c>
      <c r="O48" s="61">
        <f t="shared" si="69"/>
        <v>263805.50909267634</v>
      </c>
      <c r="P48" s="61"/>
      <c r="Q48" s="61">
        <f t="shared" si="69"/>
        <v>1998133.3833397934</v>
      </c>
      <c r="R48" s="61">
        <f t="shared" si="69"/>
        <v>978091.84638365323</v>
      </c>
      <c r="S48" s="39"/>
      <c r="T48" s="39"/>
      <c r="U48" s="39"/>
      <c r="V48" s="59"/>
    </row>
    <row r="49" spans="1:23" s="44" customFormat="1" ht="15.75" thickTop="1" x14ac:dyDescent="0.25">
      <c r="A49" s="41"/>
      <c r="B49" s="41"/>
      <c r="C49" s="39"/>
      <c r="D49" s="42"/>
      <c r="E49" s="42"/>
      <c r="F49" s="42"/>
      <c r="G49" s="42"/>
      <c r="H49" s="42"/>
      <c r="I49" s="42"/>
      <c r="L49" s="42"/>
      <c r="M49" s="42"/>
      <c r="N49" s="42"/>
      <c r="O49" s="42"/>
      <c r="Q49" s="42"/>
    </row>
    <row r="50" spans="1:23" s="44" customFormat="1" x14ac:dyDescent="0.25">
      <c r="A50" s="41"/>
      <c r="B50" s="41"/>
      <c r="C50" s="42">
        <f>C48/V26</f>
        <v>0.73728335214574559</v>
      </c>
      <c r="D50" s="42">
        <f>D48/V26</f>
        <v>0.26271664785425458</v>
      </c>
      <c r="E50" s="42"/>
      <c r="F50" s="42"/>
      <c r="G50" s="42"/>
      <c r="H50" s="42">
        <f>H48/($D$48+$E$48+$F$48)</f>
        <v>0.80000000000000038</v>
      </c>
      <c r="I50" s="42">
        <f t="shared" ref="I50:R50" si="70">I48/($D$48+$E$48+$F$48)</f>
        <v>5.0000000000000024E-2</v>
      </c>
      <c r="J50" s="42">
        <f t="shared" si="70"/>
        <v>5.0000000000000024E-2</v>
      </c>
      <c r="K50" s="42"/>
      <c r="L50" s="42">
        <f t="shared" si="70"/>
        <v>6.2280683571367254E-3</v>
      </c>
      <c r="M50" s="42">
        <f t="shared" si="70"/>
        <v>4.7360010107680367E-3</v>
      </c>
      <c r="N50" s="42">
        <f t="shared" si="70"/>
        <v>2.93643907605536E-2</v>
      </c>
      <c r="O50" s="42">
        <f t="shared" si="70"/>
        <v>4.8584974104004478E-3</v>
      </c>
      <c r="P50" s="42"/>
      <c r="Q50" s="42">
        <f t="shared" si="70"/>
        <v>3.6799556999321893E-2</v>
      </c>
      <c r="R50" s="42">
        <f t="shared" si="70"/>
        <v>1.8013485461819329E-2</v>
      </c>
      <c r="S50" s="42"/>
      <c r="T50" s="42"/>
      <c r="U50" s="42"/>
    </row>
    <row r="51" spans="1:23" s="44" customFormat="1" x14ac:dyDescent="0.25">
      <c r="A51" s="41"/>
      <c r="B51" s="41"/>
      <c r="C51" s="42"/>
      <c r="D51" s="42"/>
      <c r="F51" s="39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W51" s="59"/>
    </row>
    <row r="52" spans="1:23" s="44" customFormat="1" x14ac:dyDescent="0.25">
      <c r="A52" s="62" t="s">
        <v>55</v>
      </c>
      <c r="B52" s="41"/>
      <c r="C52" s="42"/>
      <c r="D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W52" s="59"/>
    </row>
    <row r="53" spans="1:23" s="46" customFormat="1" x14ac:dyDescent="0.25">
      <c r="A53" s="63" t="s">
        <v>73</v>
      </c>
      <c r="B53" s="64"/>
      <c r="C53" s="65"/>
      <c r="D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W53" s="59"/>
    </row>
    <row r="54" spans="1:23" s="46" customFormat="1" x14ac:dyDescent="0.25">
      <c r="A54" s="63" t="s">
        <v>57</v>
      </c>
      <c r="B54" s="64"/>
      <c r="C54" s="65"/>
      <c r="D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</row>
    <row r="55" spans="1:23" s="46" customFormat="1" x14ac:dyDescent="0.25">
      <c r="A55" s="63"/>
      <c r="B55" s="64"/>
      <c r="C55" s="65"/>
      <c r="D55" s="65"/>
      <c r="H55" s="66"/>
      <c r="I55" s="66"/>
      <c r="J55" s="66"/>
      <c r="K55" s="65"/>
      <c r="L55" s="67"/>
      <c r="M55" s="67"/>
      <c r="N55" s="67"/>
      <c r="O55" s="67"/>
      <c r="P55" s="65"/>
      <c r="Q55" s="67"/>
      <c r="R55" s="67"/>
      <c r="S55" s="67"/>
      <c r="T55" s="68"/>
      <c r="U55" s="68"/>
      <c r="V55" s="68"/>
    </row>
    <row r="56" spans="1:23" s="46" customFormat="1" ht="15" customHeight="1" x14ac:dyDescent="0.25">
      <c r="A56" s="63" t="s">
        <v>58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</row>
    <row r="57" spans="1:23" s="46" customFormat="1" x14ac:dyDescent="0.25">
      <c r="B57" s="64"/>
      <c r="C57" s="65"/>
      <c r="D57" s="7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23" ht="15" customHeight="1" x14ac:dyDescent="0.25">
      <c r="A58" s="71" t="s">
        <v>59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23" x14ac:dyDescent="0.25">
      <c r="A59" s="71" t="s">
        <v>60</v>
      </c>
    </row>
    <row r="61" spans="1:23" x14ac:dyDescent="0.25">
      <c r="A61" s="71" t="s">
        <v>61</v>
      </c>
    </row>
    <row r="62" spans="1:23" x14ac:dyDescent="0.25">
      <c r="A62" s="71"/>
      <c r="B62" s="72"/>
      <c r="C62" s="73"/>
      <c r="D62" s="73"/>
      <c r="E62" s="73"/>
      <c r="F62" s="73"/>
      <c r="G62" s="73"/>
      <c r="H62" s="73"/>
      <c r="I62" s="74"/>
      <c r="J62" s="73"/>
      <c r="K62" s="73"/>
      <c r="L62" s="73"/>
      <c r="M62" s="73"/>
      <c r="N62" s="73"/>
      <c r="O62" s="73"/>
    </row>
    <row r="63" spans="1:23" x14ac:dyDescent="0.25">
      <c r="A63" s="71" t="s">
        <v>71</v>
      </c>
    </row>
    <row r="65" spans="1:1" x14ac:dyDescent="0.25">
      <c r="A65" s="83" t="s">
        <v>72</v>
      </c>
    </row>
  </sheetData>
  <mergeCells count="12">
    <mergeCell ref="L34:R34"/>
    <mergeCell ref="A1:V1"/>
    <mergeCell ref="A2:V2"/>
    <mergeCell ref="A3:V3"/>
    <mergeCell ref="A4:V4"/>
    <mergeCell ref="A5:V5"/>
    <mergeCell ref="A8:V8"/>
    <mergeCell ref="C10:I10"/>
    <mergeCell ref="L10:O10"/>
    <mergeCell ref="Q10:R10"/>
    <mergeCell ref="A30:V30"/>
    <mergeCell ref="H32:R32"/>
  </mergeCells>
  <hyperlinks>
    <hyperlink ref="A4" r:id="rId1" xr:uid="{DC58DF0C-CC72-4A78-A3D6-C4E1C242922A}"/>
  </hyperlinks>
  <printOptions horizontalCentered="1" verticalCentered="1"/>
  <pageMargins left="0" right="0" top="0.25" bottom="0.25" header="0.3" footer="0.3"/>
  <pageSetup scale="5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40224-D89B-4736-AEDB-4F4F0279F630}">
  <sheetPr>
    <pageSetUpPr fitToPage="1"/>
  </sheetPr>
  <dimension ref="A1:U63"/>
  <sheetViews>
    <sheetView zoomScale="90" zoomScaleNormal="90" workbookViewId="0">
      <selection activeCell="Q26" sqref="Q26"/>
    </sheetView>
  </sheetViews>
  <sheetFormatPr defaultRowHeight="15" x14ac:dyDescent="0.25"/>
  <cols>
    <col min="1" max="1" width="9.28515625" style="5" customWidth="1"/>
    <col min="2" max="2" width="1.7109375" style="5" customWidth="1"/>
    <col min="3" max="3" width="15.5703125" style="29" bestFit="1" customWidth="1"/>
    <col min="4" max="4" width="13.5703125" style="29" customWidth="1"/>
    <col min="5" max="5" width="15.5703125" style="29" bestFit="1" customWidth="1"/>
    <col min="6" max="6" width="18.140625" style="29" customWidth="1"/>
    <col min="7" max="7" width="1.85546875" style="29" customWidth="1"/>
    <col min="8" max="8" width="15" style="29" customWidth="1"/>
    <col min="9" max="9" width="11.7109375" style="31" customWidth="1"/>
    <col min="10" max="10" width="11.7109375" style="29" customWidth="1"/>
    <col min="11" max="11" width="1.140625" style="29" customWidth="1"/>
    <col min="12" max="12" width="14" style="29" customWidth="1"/>
    <col min="13" max="13" width="13.85546875" style="29" customWidth="1"/>
    <col min="14" max="14" width="12.7109375" style="29" bestFit="1" customWidth="1"/>
    <col min="15" max="15" width="12.42578125" style="29" customWidth="1"/>
    <col min="16" max="16" width="3.5703125" style="29" customWidth="1"/>
    <col min="17" max="17" width="15" style="29" customWidth="1"/>
    <col min="18" max="18" width="12.140625" style="29" customWidth="1"/>
    <col min="19" max="19" width="3.5703125" style="1" customWidth="1"/>
    <col min="20" max="20" width="16" style="1" customWidth="1"/>
    <col min="21" max="21" width="15" style="1" customWidth="1"/>
    <col min="22" max="257" width="8.85546875" style="1"/>
    <col min="258" max="258" width="9.28515625" style="1" customWidth="1"/>
    <col min="259" max="259" width="1.7109375" style="1" customWidth="1"/>
    <col min="260" max="263" width="12" style="1" customWidth="1"/>
    <col min="264" max="264" width="11.85546875" style="1" customWidth="1"/>
    <col min="265" max="265" width="10.7109375" style="1" customWidth="1"/>
    <col min="266" max="266" width="10.5703125" style="1" customWidth="1"/>
    <col min="267" max="267" width="1.140625" style="1" customWidth="1"/>
    <col min="268" max="268" width="11.28515625" style="1" customWidth="1"/>
    <col min="269" max="269" width="12.7109375" style="1" customWidth="1"/>
    <col min="270" max="270" width="11.5703125" style="1" customWidth="1"/>
    <col min="271" max="271" width="12.42578125" style="1" customWidth="1"/>
    <col min="272" max="272" width="1.5703125" style="1" customWidth="1"/>
    <col min="273" max="273" width="11.42578125" style="1" customWidth="1"/>
    <col min="274" max="274" width="12.140625" style="1" customWidth="1"/>
    <col min="275" max="275" width="1.7109375" style="1" customWidth="1"/>
    <col min="276" max="276" width="13.5703125" style="1" customWidth="1"/>
    <col min="277" max="513" width="8.85546875" style="1"/>
    <col min="514" max="514" width="9.28515625" style="1" customWidth="1"/>
    <col min="515" max="515" width="1.7109375" style="1" customWidth="1"/>
    <col min="516" max="519" width="12" style="1" customWidth="1"/>
    <col min="520" max="520" width="11.85546875" style="1" customWidth="1"/>
    <col min="521" max="521" width="10.7109375" style="1" customWidth="1"/>
    <col min="522" max="522" width="10.5703125" style="1" customWidth="1"/>
    <col min="523" max="523" width="1.140625" style="1" customWidth="1"/>
    <col min="524" max="524" width="11.28515625" style="1" customWidth="1"/>
    <col min="525" max="525" width="12.7109375" style="1" customWidth="1"/>
    <col min="526" max="526" width="11.5703125" style="1" customWidth="1"/>
    <col min="527" max="527" width="12.42578125" style="1" customWidth="1"/>
    <col min="528" max="528" width="1.5703125" style="1" customWidth="1"/>
    <col min="529" max="529" width="11.42578125" style="1" customWidth="1"/>
    <col min="530" max="530" width="12.140625" style="1" customWidth="1"/>
    <col min="531" max="531" width="1.7109375" style="1" customWidth="1"/>
    <col min="532" max="532" width="13.5703125" style="1" customWidth="1"/>
    <col min="533" max="769" width="8.85546875" style="1"/>
    <col min="770" max="770" width="9.28515625" style="1" customWidth="1"/>
    <col min="771" max="771" width="1.7109375" style="1" customWidth="1"/>
    <col min="772" max="775" width="12" style="1" customWidth="1"/>
    <col min="776" max="776" width="11.85546875" style="1" customWidth="1"/>
    <col min="777" max="777" width="10.7109375" style="1" customWidth="1"/>
    <col min="778" max="778" width="10.5703125" style="1" customWidth="1"/>
    <col min="779" max="779" width="1.140625" style="1" customWidth="1"/>
    <col min="780" max="780" width="11.28515625" style="1" customWidth="1"/>
    <col min="781" max="781" width="12.7109375" style="1" customWidth="1"/>
    <col min="782" max="782" width="11.5703125" style="1" customWidth="1"/>
    <col min="783" max="783" width="12.42578125" style="1" customWidth="1"/>
    <col min="784" max="784" width="1.5703125" style="1" customWidth="1"/>
    <col min="785" max="785" width="11.42578125" style="1" customWidth="1"/>
    <col min="786" max="786" width="12.140625" style="1" customWidth="1"/>
    <col min="787" max="787" width="1.7109375" style="1" customWidth="1"/>
    <col min="788" max="788" width="13.5703125" style="1" customWidth="1"/>
    <col min="789" max="1025" width="8.85546875" style="1"/>
    <col min="1026" max="1026" width="9.28515625" style="1" customWidth="1"/>
    <col min="1027" max="1027" width="1.7109375" style="1" customWidth="1"/>
    <col min="1028" max="1031" width="12" style="1" customWidth="1"/>
    <col min="1032" max="1032" width="11.85546875" style="1" customWidth="1"/>
    <col min="1033" max="1033" width="10.7109375" style="1" customWidth="1"/>
    <col min="1034" max="1034" width="10.5703125" style="1" customWidth="1"/>
    <col min="1035" max="1035" width="1.140625" style="1" customWidth="1"/>
    <col min="1036" max="1036" width="11.28515625" style="1" customWidth="1"/>
    <col min="1037" max="1037" width="12.7109375" style="1" customWidth="1"/>
    <col min="1038" max="1038" width="11.5703125" style="1" customWidth="1"/>
    <col min="1039" max="1039" width="12.42578125" style="1" customWidth="1"/>
    <col min="1040" max="1040" width="1.5703125" style="1" customWidth="1"/>
    <col min="1041" max="1041" width="11.42578125" style="1" customWidth="1"/>
    <col min="1042" max="1042" width="12.140625" style="1" customWidth="1"/>
    <col min="1043" max="1043" width="1.7109375" style="1" customWidth="1"/>
    <col min="1044" max="1044" width="13.5703125" style="1" customWidth="1"/>
    <col min="1045" max="1281" width="8.85546875" style="1"/>
    <col min="1282" max="1282" width="9.28515625" style="1" customWidth="1"/>
    <col min="1283" max="1283" width="1.7109375" style="1" customWidth="1"/>
    <col min="1284" max="1287" width="12" style="1" customWidth="1"/>
    <col min="1288" max="1288" width="11.85546875" style="1" customWidth="1"/>
    <col min="1289" max="1289" width="10.7109375" style="1" customWidth="1"/>
    <col min="1290" max="1290" width="10.5703125" style="1" customWidth="1"/>
    <col min="1291" max="1291" width="1.140625" style="1" customWidth="1"/>
    <col min="1292" max="1292" width="11.28515625" style="1" customWidth="1"/>
    <col min="1293" max="1293" width="12.7109375" style="1" customWidth="1"/>
    <col min="1294" max="1294" width="11.5703125" style="1" customWidth="1"/>
    <col min="1295" max="1295" width="12.42578125" style="1" customWidth="1"/>
    <col min="1296" max="1296" width="1.5703125" style="1" customWidth="1"/>
    <col min="1297" max="1297" width="11.42578125" style="1" customWidth="1"/>
    <col min="1298" max="1298" width="12.140625" style="1" customWidth="1"/>
    <col min="1299" max="1299" width="1.7109375" style="1" customWidth="1"/>
    <col min="1300" max="1300" width="13.5703125" style="1" customWidth="1"/>
    <col min="1301" max="1537" width="8.85546875" style="1"/>
    <col min="1538" max="1538" width="9.28515625" style="1" customWidth="1"/>
    <col min="1539" max="1539" width="1.7109375" style="1" customWidth="1"/>
    <col min="1540" max="1543" width="12" style="1" customWidth="1"/>
    <col min="1544" max="1544" width="11.85546875" style="1" customWidth="1"/>
    <col min="1545" max="1545" width="10.7109375" style="1" customWidth="1"/>
    <col min="1546" max="1546" width="10.5703125" style="1" customWidth="1"/>
    <col min="1547" max="1547" width="1.140625" style="1" customWidth="1"/>
    <col min="1548" max="1548" width="11.28515625" style="1" customWidth="1"/>
    <col min="1549" max="1549" width="12.7109375" style="1" customWidth="1"/>
    <col min="1550" max="1550" width="11.5703125" style="1" customWidth="1"/>
    <col min="1551" max="1551" width="12.42578125" style="1" customWidth="1"/>
    <col min="1552" max="1552" width="1.5703125" style="1" customWidth="1"/>
    <col min="1553" max="1553" width="11.42578125" style="1" customWidth="1"/>
    <col min="1554" max="1554" width="12.140625" style="1" customWidth="1"/>
    <col min="1555" max="1555" width="1.7109375" style="1" customWidth="1"/>
    <col min="1556" max="1556" width="13.5703125" style="1" customWidth="1"/>
    <col min="1557" max="1793" width="8.85546875" style="1"/>
    <col min="1794" max="1794" width="9.28515625" style="1" customWidth="1"/>
    <col min="1795" max="1795" width="1.7109375" style="1" customWidth="1"/>
    <col min="1796" max="1799" width="12" style="1" customWidth="1"/>
    <col min="1800" max="1800" width="11.85546875" style="1" customWidth="1"/>
    <col min="1801" max="1801" width="10.7109375" style="1" customWidth="1"/>
    <col min="1802" max="1802" width="10.5703125" style="1" customWidth="1"/>
    <col min="1803" max="1803" width="1.140625" style="1" customWidth="1"/>
    <col min="1804" max="1804" width="11.28515625" style="1" customWidth="1"/>
    <col min="1805" max="1805" width="12.7109375" style="1" customWidth="1"/>
    <col min="1806" max="1806" width="11.5703125" style="1" customWidth="1"/>
    <col min="1807" max="1807" width="12.42578125" style="1" customWidth="1"/>
    <col min="1808" max="1808" width="1.5703125" style="1" customWidth="1"/>
    <col min="1809" max="1809" width="11.42578125" style="1" customWidth="1"/>
    <col min="1810" max="1810" width="12.140625" style="1" customWidth="1"/>
    <col min="1811" max="1811" width="1.7109375" style="1" customWidth="1"/>
    <col min="1812" max="1812" width="13.5703125" style="1" customWidth="1"/>
    <col min="1813" max="2049" width="8.85546875" style="1"/>
    <col min="2050" max="2050" width="9.28515625" style="1" customWidth="1"/>
    <col min="2051" max="2051" width="1.7109375" style="1" customWidth="1"/>
    <col min="2052" max="2055" width="12" style="1" customWidth="1"/>
    <col min="2056" max="2056" width="11.85546875" style="1" customWidth="1"/>
    <col min="2057" max="2057" width="10.7109375" style="1" customWidth="1"/>
    <col min="2058" max="2058" width="10.5703125" style="1" customWidth="1"/>
    <col min="2059" max="2059" width="1.140625" style="1" customWidth="1"/>
    <col min="2060" max="2060" width="11.28515625" style="1" customWidth="1"/>
    <col min="2061" max="2061" width="12.7109375" style="1" customWidth="1"/>
    <col min="2062" max="2062" width="11.5703125" style="1" customWidth="1"/>
    <col min="2063" max="2063" width="12.42578125" style="1" customWidth="1"/>
    <col min="2064" max="2064" width="1.5703125" style="1" customWidth="1"/>
    <col min="2065" max="2065" width="11.42578125" style="1" customWidth="1"/>
    <col min="2066" max="2066" width="12.140625" style="1" customWidth="1"/>
    <col min="2067" max="2067" width="1.7109375" style="1" customWidth="1"/>
    <col min="2068" max="2068" width="13.5703125" style="1" customWidth="1"/>
    <col min="2069" max="2305" width="8.85546875" style="1"/>
    <col min="2306" max="2306" width="9.28515625" style="1" customWidth="1"/>
    <col min="2307" max="2307" width="1.7109375" style="1" customWidth="1"/>
    <col min="2308" max="2311" width="12" style="1" customWidth="1"/>
    <col min="2312" max="2312" width="11.85546875" style="1" customWidth="1"/>
    <col min="2313" max="2313" width="10.7109375" style="1" customWidth="1"/>
    <col min="2314" max="2314" width="10.5703125" style="1" customWidth="1"/>
    <col min="2315" max="2315" width="1.140625" style="1" customWidth="1"/>
    <col min="2316" max="2316" width="11.28515625" style="1" customWidth="1"/>
    <col min="2317" max="2317" width="12.7109375" style="1" customWidth="1"/>
    <col min="2318" max="2318" width="11.5703125" style="1" customWidth="1"/>
    <col min="2319" max="2319" width="12.42578125" style="1" customWidth="1"/>
    <col min="2320" max="2320" width="1.5703125" style="1" customWidth="1"/>
    <col min="2321" max="2321" width="11.42578125" style="1" customWidth="1"/>
    <col min="2322" max="2322" width="12.140625" style="1" customWidth="1"/>
    <col min="2323" max="2323" width="1.7109375" style="1" customWidth="1"/>
    <col min="2324" max="2324" width="13.5703125" style="1" customWidth="1"/>
    <col min="2325" max="2561" width="8.85546875" style="1"/>
    <col min="2562" max="2562" width="9.28515625" style="1" customWidth="1"/>
    <col min="2563" max="2563" width="1.7109375" style="1" customWidth="1"/>
    <col min="2564" max="2567" width="12" style="1" customWidth="1"/>
    <col min="2568" max="2568" width="11.85546875" style="1" customWidth="1"/>
    <col min="2569" max="2569" width="10.7109375" style="1" customWidth="1"/>
    <col min="2570" max="2570" width="10.5703125" style="1" customWidth="1"/>
    <col min="2571" max="2571" width="1.140625" style="1" customWidth="1"/>
    <col min="2572" max="2572" width="11.28515625" style="1" customWidth="1"/>
    <col min="2573" max="2573" width="12.7109375" style="1" customWidth="1"/>
    <col min="2574" max="2574" width="11.5703125" style="1" customWidth="1"/>
    <col min="2575" max="2575" width="12.42578125" style="1" customWidth="1"/>
    <col min="2576" max="2576" width="1.5703125" style="1" customWidth="1"/>
    <col min="2577" max="2577" width="11.42578125" style="1" customWidth="1"/>
    <col min="2578" max="2578" width="12.140625" style="1" customWidth="1"/>
    <col min="2579" max="2579" width="1.7109375" style="1" customWidth="1"/>
    <col min="2580" max="2580" width="13.5703125" style="1" customWidth="1"/>
    <col min="2581" max="2817" width="8.85546875" style="1"/>
    <col min="2818" max="2818" width="9.28515625" style="1" customWidth="1"/>
    <col min="2819" max="2819" width="1.7109375" style="1" customWidth="1"/>
    <col min="2820" max="2823" width="12" style="1" customWidth="1"/>
    <col min="2824" max="2824" width="11.85546875" style="1" customWidth="1"/>
    <col min="2825" max="2825" width="10.7109375" style="1" customWidth="1"/>
    <col min="2826" max="2826" width="10.5703125" style="1" customWidth="1"/>
    <col min="2827" max="2827" width="1.140625" style="1" customWidth="1"/>
    <col min="2828" max="2828" width="11.28515625" style="1" customWidth="1"/>
    <col min="2829" max="2829" width="12.7109375" style="1" customWidth="1"/>
    <col min="2830" max="2830" width="11.5703125" style="1" customWidth="1"/>
    <col min="2831" max="2831" width="12.42578125" style="1" customWidth="1"/>
    <col min="2832" max="2832" width="1.5703125" style="1" customWidth="1"/>
    <col min="2833" max="2833" width="11.42578125" style="1" customWidth="1"/>
    <col min="2834" max="2834" width="12.140625" style="1" customWidth="1"/>
    <col min="2835" max="2835" width="1.7109375" style="1" customWidth="1"/>
    <col min="2836" max="2836" width="13.5703125" style="1" customWidth="1"/>
    <col min="2837" max="3073" width="8.85546875" style="1"/>
    <col min="3074" max="3074" width="9.28515625" style="1" customWidth="1"/>
    <col min="3075" max="3075" width="1.7109375" style="1" customWidth="1"/>
    <col min="3076" max="3079" width="12" style="1" customWidth="1"/>
    <col min="3080" max="3080" width="11.85546875" style="1" customWidth="1"/>
    <col min="3081" max="3081" width="10.7109375" style="1" customWidth="1"/>
    <col min="3082" max="3082" width="10.5703125" style="1" customWidth="1"/>
    <col min="3083" max="3083" width="1.140625" style="1" customWidth="1"/>
    <col min="3084" max="3084" width="11.28515625" style="1" customWidth="1"/>
    <col min="3085" max="3085" width="12.7109375" style="1" customWidth="1"/>
    <col min="3086" max="3086" width="11.5703125" style="1" customWidth="1"/>
    <col min="3087" max="3087" width="12.42578125" style="1" customWidth="1"/>
    <col min="3088" max="3088" width="1.5703125" style="1" customWidth="1"/>
    <col min="3089" max="3089" width="11.42578125" style="1" customWidth="1"/>
    <col min="3090" max="3090" width="12.140625" style="1" customWidth="1"/>
    <col min="3091" max="3091" width="1.7109375" style="1" customWidth="1"/>
    <col min="3092" max="3092" width="13.5703125" style="1" customWidth="1"/>
    <col min="3093" max="3329" width="8.85546875" style="1"/>
    <col min="3330" max="3330" width="9.28515625" style="1" customWidth="1"/>
    <col min="3331" max="3331" width="1.7109375" style="1" customWidth="1"/>
    <col min="3332" max="3335" width="12" style="1" customWidth="1"/>
    <col min="3336" max="3336" width="11.85546875" style="1" customWidth="1"/>
    <col min="3337" max="3337" width="10.7109375" style="1" customWidth="1"/>
    <col min="3338" max="3338" width="10.5703125" style="1" customWidth="1"/>
    <col min="3339" max="3339" width="1.140625" style="1" customWidth="1"/>
    <col min="3340" max="3340" width="11.28515625" style="1" customWidth="1"/>
    <col min="3341" max="3341" width="12.7109375" style="1" customWidth="1"/>
    <col min="3342" max="3342" width="11.5703125" style="1" customWidth="1"/>
    <col min="3343" max="3343" width="12.42578125" style="1" customWidth="1"/>
    <col min="3344" max="3344" width="1.5703125" style="1" customWidth="1"/>
    <col min="3345" max="3345" width="11.42578125" style="1" customWidth="1"/>
    <col min="3346" max="3346" width="12.140625" style="1" customWidth="1"/>
    <col min="3347" max="3347" width="1.7109375" style="1" customWidth="1"/>
    <col min="3348" max="3348" width="13.5703125" style="1" customWidth="1"/>
    <col min="3349" max="3585" width="8.85546875" style="1"/>
    <col min="3586" max="3586" width="9.28515625" style="1" customWidth="1"/>
    <col min="3587" max="3587" width="1.7109375" style="1" customWidth="1"/>
    <col min="3588" max="3591" width="12" style="1" customWidth="1"/>
    <col min="3592" max="3592" width="11.85546875" style="1" customWidth="1"/>
    <col min="3593" max="3593" width="10.7109375" style="1" customWidth="1"/>
    <col min="3594" max="3594" width="10.5703125" style="1" customWidth="1"/>
    <col min="3595" max="3595" width="1.140625" style="1" customWidth="1"/>
    <col min="3596" max="3596" width="11.28515625" style="1" customWidth="1"/>
    <col min="3597" max="3597" width="12.7109375" style="1" customWidth="1"/>
    <col min="3598" max="3598" width="11.5703125" style="1" customWidth="1"/>
    <col min="3599" max="3599" width="12.42578125" style="1" customWidth="1"/>
    <col min="3600" max="3600" width="1.5703125" style="1" customWidth="1"/>
    <col min="3601" max="3601" width="11.42578125" style="1" customWidth="1"/>
    <col min="3602" max="3602" width="12.140625" style="1" customWidth="1"/>
    <col min="3603" max="3603" width="1.7109375" style="1" customWidth="1"/>
    <col min="3604" max="3604" width="13.5703125" style="1" customWidth="1"/>
    <col min="3605" max="3841" width="8.85546875" style="1"/>
    <col min="3842" max="3842" width="9.28515625" style="1" customWidth="1"/>
    <col min="3843" max="3843" width="1.7109375" style="1" customWidth="1"/>
    <col min="3844" max="3847" width="12" style="1" customWidth="1"/>
    <col min="3848" max="3848" width="11.85546875" style="1" customWidth="1"/>
    <col min="3849" max="3849" width="10.7109375" style="1" customWidth="1"/>
    <col min="3850" max="3850" width="10.5703125" style="1" customWidth="1"/>
    <col min="3851" max="3851" width="1.140625" style="1" customWidth="1"/>
    <col min="3852" max="3852" width="11.28515625" style="1" customWidth="1"/>
    <col min="3853" max="3853" width="12.7109375" style="1" customWidth="1"/>
    <col min="3854" max="3854" width="11.5703125" style="1" customWidth="1"/>
    <col min="3855" max="3855" width="12.42578125" style="1" customWidth="1"/>
    <col min="3856" max="3856" width="1.5703125" style="1" customWidth="1"/>
    <col min="3857" max="3857" width="11.42578125" style="1" customWidth="1"/>
    <col min="3858" max="3858" width="12.140625" style="1" customWidth="1"/>
    <col min="3859" max="3859" width="1.7109375" style="1" customWidth="1"/>
    <col min="3860" max="3860" width="13.5703125" style="1" customWidth="1"/>
    <col min="3861" max="4097" width="8.85546875" style="1"/>
    <col min="4098" max="4098" width="9.28515625" style="1" customWidth="1"/>
    <col min="4099" max="4099" width="1.7109375" style="1" customWidth="1"/>
    <col min="4100" max="4103" width="12" style="1" customWidth="1"/>
    <col min="4104" max="4104" width="11.85546875" style="1" customWidth="1"/>
    <col min="4105" max="4105" width="10.7109375" style="1" customWidth="1"/>
    <col min="4106" max="4106" width="10.5703125" style="1" customWidth="1"/>
    <col min="4107" max="4107" width="1.140625" style="1" customWidth="1"/>
    <col min="4108" max="4108" width="11.28515625" style="1" customWidth="1"/>
    <col min="4109" max="4109" width="12.7109375" style="1" customWidth="1"/>
    <col min="4110" max="4110" width="11.5703125" style="1" customWidth="1"/>
    <col min="4111" max="4111" width="12.42578125" style="1" customWidth="1"/>
    <col min="4112" max="4112" width="1.5703125" style="1" customWidth="1"/>
    <col min="4113" max="4113" width="11.42578125" style="1" customWidth="1"/>
    <col min="4114" max="4114" width="12.140625" style="1" customWidth="1"/>
    <col min="4115" max="4115" width="1.7109375" style="1" customWidth="1"/>
    <col min="4116" max="4116" width="13.5703125" style="1" customWidth="1"/>
    <col min="4117" max="4353" width="8.85546875" style="1"/>
    <col min="4354" max="4354" width="9.28515625" style="1" customWidth="1"/>
    <col min="4355" max="4355" width="1.7109375" style="1" customWidth="1"/>
    <col min="4356" max="4359" width="12" style="1" customWidth="1"/>
    <col min="4360" max="4360" width="11.85546875" style="1" customWidth="1"/>
    <col min="4361" max="4361" width="10.7109375" style="1" customWidth="1"/>
    <col min="4362" max="4362" width="10.5703125" style="1" customWidth="1"/>
    <col min="4363" max="4363" width="1.140625" style="1" customWidth="1"/>
    <col min="4364" max="4364" width="11.28515625" style="1" customWidth="1"/>
    <col min="4365" max="4365" width="12.7109375" style="1" customWidth="1"/>
    <col min="4366" max="4366" width="11.5703125" style="1" customWidth="1"/>
    <col min="4367" max="4367" width="12.42578125" style="1" customWidth="1"/>
    <col min="4368" max="4368" width="1.5703125" style="1" customWidth="1"/>
    <col min="4369" max="4369" width="11.42578125" style="1" customWidth="1"/>
    <col min="4370" max="4370" width="12.140625" style="1" customWidth="1"/>
    <col min="4371" max="4371" width="1.7109375" style="1" customWidth="1"/>
    <col min="4372" max="4372" width="13.5703125" style="1" customWidth="1"/>
    <col min="4373" max="4609" width="8.85546875" style="1"/>
    <col min="4610" max="4610" width="9.28515625" style="1" customWidth="1"/>
    <col min="4611" max="4611" width="1.7109375" style="1" customWidth="1"/>
    <col min="4612" max="4615" width="12" style="1" customWidth="1"/>
    <col min="4616" max="4616" width="11.85546875" style="1" customWidth="1"/>
    <col min="4617" max="4617" width="10.7109375" style="1" customWidth="1"/>
    <col min="4618" max="4618" width="10.5703125" style="1" customWidth="1"/>
    <col min="4619" max="4619" width="1.140625" style="1" customWidth="1"/>
    <col min="4620" max="4620" width="11.28515625" style="1" customWidth="1"/>
    <col min="4621" max="4621" width="12.7109375" style="1" customWidth="1"/>
    <col min="4622" max="4622" width="11.5703125" style="1" customWidth="1"/>
    <col min="4623" max="4623" width="12.42578125" style="1" customWidth="1"/>
    <col min="4624" max="4624" width="1.5703125" style="1" customWidth="1"/>
    <col min="4625" max="4625" width="11.42578125" style="1" customWidth="1"/>
    <col min="4626" max="4626" width="12.140625" style="1" customWidth="1"/>
    <col min="4627" max="4627" width="1.7109375" style="1" customWidth="1"/>
    <col min="4628" max="4628" width="13.5703125" style="1" customWidth="1"/>
    <col min="4629" max="4865" width="8.85546875" style="1"/>
    <col min="4866" max="4866" width="9.28515625" style="1" customWidth="1"/>
    <col min="4867" max="4867" width="1.7109375" style="1" customWidth="1"/>
    <col min="4868" max="4871" width="12" style="1" customWidth="1"/>
    <col min="4872" max="4872" width="11.85546875" style="1" customWidth="1"/>
    <col min="4873" max="4873" width="10.7109375" style="1" customWidth="1"/>
    <col min="4874" max="4874" width="10.5703125" style="1" customWidth="1"/>
    <col min="4875" max="4875" width="1.140625" style="1" customWidth="1"/>
    <col min="4876" max="4876" width="11.28515625" style="1" customWidth="1"/>
    <col min="4877" max="4877" width="12.7109375" style="1" customWidth="1"/>
    <col min="4878" max="4878" width="11.5703125" style="1" customWidth="1"/>
    <col min="4879" max="4879" width="12.42578125" style="1" customWidth="1"/>
    <col min="4880" max="4880" width="1.5703125" style="1" customWidth="1"/>
    <col min="4881" max="4881" width="11.42578125" style="1" customWidth="1"/>
    <col min="4882" max="4882" width="12.140625" style="1" customWidth="1"/>
    <col min="4883" max="4883" width="1.7109375" style="1" customWidth="1"/>
    <col min="4884" max="4884" width="13.5703125" style="1" customWidth="1"/>
    <col min="4885" max="5121" width="8.85546875" style="1"/>
    <col min="5122" max="5122" width="9.28515625" style="1" customWidth="1"/>
    <col min="5123" max="5123" width="1.7109375" style="1" customWidth="1"/>
    <col min="5124" max="5127" width="12" style="1" customWidth="1"/>
    <col min="5128" max="5128" width="11.85546875" style="1" customWidth="1"/>
    <col min="5129" max="5129" width="10.7109375" style="1" customWidth="1"/>
    <col min="5130" max="5130" width="10.5703125" style="1" customWidth="1"/>
    <col min="5131" max="5131" width="1.140625" style="1" customWidth="1"/>
    <col min="5132" max="5132" width="11.28515625" style="1" customWidth="1"/>
    <col min="5133" max="5133" width="12.7109375" style="1" customWidth="1"/>
    <col min="5134" max="5134" width="11.5703125" style="1" customWidth="1"/>
    <col min="5135" max="5135" width="12.42578125" style="1" customWidth="1"/>
    <col min="5136" max="5136" width="1.5703125" style="1" customWidth="1"/>
    <col min="5137" max="5137" width="11.42578125" style="1" customWidth="1"/>
    <col min="5138" max="5138" width="12.140625" style="1" customWidth="1"/>
    <col min="5139" max="5139" width="1.7109375" style="1" customWidth="1"/>
    <col min="5140" max="5140" width="13.5703125" style="1" customWidth="1"/>
    <col min="5141" max="5377" width="8.85546875" style="1"/>
    <col min="5378" max="5378" width="9.28515625" style="1" customWidth="1"/>
    <col min="5379" max="5379" width="1.7109375" style="1" customWidth="1"/>
    <col min="5380" max="5383" width="12" style="1" customWidth="1"/>
    <col min="5384" max="5384" width="11.85546875" style="1" customWidth="1"/>
    <col min="5385" max="5385" width="10.7109375" style="1" customWidth="1"/>
    <col min="5386" max="5386" width="10.5703125" style="1" customWidth="1"/>
    <col min="5387" max="5387" width="1.140625" style="1" customWidth="1"/>
    <col min="5388" max="5388" width="11.28515625" style="1" customWidth="1"/>
    <col min="5389" max="5389" width="12.7109375" style="1" customWidth="1"/>
    <col min="5390" max="5390" width="11.5703125" style="1" customWidth="1"/>
    <col min="5391" max="5391" width="12.42578125" style="1" customWidth="1"/>
    <col min="5392" max="5392" width="1.5703125" style="1" customWidth="1"/>
    <col min="5393" max="5393" width="11.42578125" style="1" customWidth="1"/>
    <col min="5394" max="5394" width="12.140625" style="1" customWidth="1"/>
    <col min="5395" max="5395" width="1.7109375" style="1" customWidth="1"/>
    <col min="5396" max="5396" width="13.5703125" style="1" customWidth="1"/>
    <col min="5397" max="5633" width="8.85546875" style="1"/>
    <col min="5634" max="5634" width="9.28515625" style="1" customWidth="1"/>
    <col min="5635" max="5635" width="1.7109375" style="1" customWidth="1"/>
    <col min="5636" max="5639" width="12" style="1" customWidth="1"/>
    <col min="5640" max="5640" width="11.85546875" style="1" customWidth="1"/>
    <col min="5641" max="5641" width="10.7109375" style="1" customWidth="1"/>
    <col min="5642" max="5642" width="10.5703125" style="1" customWidth="1"/>
    <col min="5643" max="5643" width="1.140625" style="1" customWidth="1"/>
    <col min="5644" max="5644" width="11.28515625" style="1" customWidth="1"/>
    <col min="5645" max="5645" width="12.7109375" style="1" customWidth="1"/>
    <col min="5646" max="5646" width="11.5703125" style="1" customWidth="1"/>
    <col min="5647" max="5647" width="12.42578125" style="1" customWidth="1"/>
    <col min="5648" max="5648" width="1.5703125" style="1" customWidth="1"/>
    <col min="5649" max="5649" width="11.42578125" style="1" customWidth="1"/>
    <col min="5650" max="5650" width="12.140625" style="1" customWidth="1"/>
    <col min="5651" max="5651" width="1.7109375" style="1" customWidth="1"/>
    <col min="5652" max="5652" width="13.5703125" style="1" customWidth="1"/>
    <col min="5653" max="5889" width="8.85546875" style="1"/>
    <col min="5890" max="5890" width="9.28515625" style="1" customWidth="1"/>
    <col min="5891" max="5891" width="1.7109375" style="1" customWidth="1"/>
    <col min="5892" max="5895" width="12" style="1" customWidth="1"/>
    <col min="5896" max="5896" width="11.85546875" style="1" customWidth="1"/>
    <col min="5897" max="5897" width="10.7109375" style="1" customWidth="1"/>
    <col min="5898" max="5898" width="10.5703125" style="1" customWidth="1"/>
    <col min="5899" max="5899" width="1.140625" style="1" customWidth="1"/>
    <col min="5900" max="5900" width="11.28515625" style="1" customWidth="1"/>
    <col min="5901" max="5901" width="12.7109375" style="1" customWidth="1"/>
    <col min="5902" max="5902" width="11.5703125" style="1" customWidth="1"/>
    <col min="5903" max="5903" width="12.42578125" style="1" customWidth="1"/>
    <col min="5904" max="5904" width="1.5703125" style="1" customWidth="1"/>
    <col min="5905" max="5905" width="11.42578125" style="1" customWidth="1"/>
    <col min="5906" max="5906" width="12.140625" style="1" customWidth="1"/>
    <col min="5907" max="5907" width="1.7109375" style="1" customWidth="1"/>
    <col min="5908" max="5908" width="13.5703125" style="1" customWidth="1"/>
    <col min="5909" max="6145" width="8.85546875" style="1"/>
    <col min="6146" max="6146" width="9.28515625" style="1" customWidth="1"/>
    <col min="6147" max="6147" width="1.7109375" style="1" customWidth="1"/>
    <col min="6148" max="6151" width="12" style="1" customWidth="1"/>
    <col min="6152" max="6152" width="11.85546875" style="1" customWidth="1"/>
    <col min="6153" max="6153" width="10.7109375" style="1" customWidth="1"/>
    <col min="6154" max="6154" width="10.5703125" style="1" customWidth="1"/>
    <col min="6155" max="6155" width="1.140625" style="1" customWidth="1"/>
    <col min="6156" max="6156" width="11.28515625" style="1" customWidth="1"/>
    <col min="6157" max="6157" width="12.7109375" style="1" customWidth="1"/>
    <col min="6158" max="6158" width="11.5703125" style="1" customWidth="1"/>
    <col min="6159" max="6159" width="12.42578125" style="1" customWidth="1"/>
    <col min="6160" max="6160" width="1.5703125" style="1" customWidth="1"/>
    <col min="6161" max="6161" width="11.42578125" style="1" customWidth="1"/>
    <col min="6162" max="6162" width="12.140625" style="1" customWidth="1"/>
    <col min="6163" max="6163" width="1.7109375" style="1" customWidth="1"/>
    <col min="6164" max="6164" width="13.5703125" style="1" customWidth="1"/>
    <col min="6165" max="6401" width="8.85546875" style="1"/>
    <col min="6402" max="6402" width="9.28515625" style="1" customWidth="1"/>
    <col min="6403" max="6403" width="1.7109375" style="1" customWidth="1"/>
    <col min="6404" max="6407" width="12" style="1" customWidth="1"/>
    <col min="6408" max="6408" width="11.85546875" style="1" customWidth="1"/>
    <col min="6409" max="6409" width="10.7109375" style="1" customWidth="1"/>
    <col min="6410" max="6410" width="10.5703125" style="1" customWidth="1"/>
    <col min="6411" max="6411" width="1.140625" style="1" customWidth="1"/>
    <col min="6412" max="6412" width="11.28515625" style="1" customWidth="1"/>
    <col min="6413" max="6413" width="12.7109375" style="1" customWidth="1"/>
    <col min="6414" max="6414" width="11.5703125" style="1" customWidth="1"/>
    <col min="6415" max="6415" width="12.42578125" style="1" customWidth="1"/>
    <col min="6416" max="6416" width="1.5703125" style="1" customWidth="1"/>
    <col min="6417" max="6417" width="11.42578125" style="1" customWidth="1"/>
    <col min="6418" max="6418" width="12.140625" style="1" customWidth="1"/>
    <col min="6419" max="6419" width="1.7109375" style="1" customWidth="1"/>
    <col min="6420" max="6420" width="13.5703125" style="1" customWidth="1"/>
    <col min="6421" max="6657" width="8.85546875" style="1"/>
    <col min="6658" max="6658" width="9.28515625" style="1" customWidth="1"/>
    <col min="6659" max="6659" width="1.7109375" style="1" customWidth="1"/>
    <col min="6660" max="6663" width="12" style="1" customWidth="1"/>
    <col min="6664" max="6664" width="11.85546875" style="1" customWidth="1"/>
    <col min="6665" max="6665" width="10.7109375" style="1" customWidth="1"/>
    <col min="6666" max="6666" width="10.5703125" style="1" customWidth="1"/>
    <col min="6667" max="6667" width="1.140625" style="1" customWidth="1"/>
    <col min="6668" max="6668" width="11.28515625" style="1" customWidth="1"/>
    <col min="6669" max="6669" width="12.7109375" style="1" customWidth="1"/>
    <col min="6670" max="6670" width="11.5703125" style="1" customWidth="1"/>
    <col min="6671" max="6671" width="12.42578125" style="1" customWidth="1"/>
    <col min="6672" max="6672" width="1.5703125" style="1" customWidth="1"/>
    <col min="6673" max="6673" width="11.42578125" style="1" customWidth="1"/>
    <col min="6674" max="6674" width="12.140625" style="1" customWidth="1"/>
    <col min="6675" max="6675" width="1.7109375" style="1" customWidth="1"/>
    <col min="6676" max="6676" width="13.5703125" style="1" customWidth="1"/>
    <col min="6677" max="6913" width="8.85546875" style="1"/>
    <col min="6914" max="6914" width="9.28515625" style="1" customWidth="1"/>
    <col min="6915" max="6915" width="1.7109375" style="1" customWidth="1"/>
    <col min="6916" max="6919" width="12" style="1" customWidth="1"/>
    <col min="6920" max="6920" width="11.85546875" style="1" customWidth="1"/>
    <col min="6921" max="6921" width="10.7109375" style="1" customWidth="1"/>
    <col min="6922" max="6922" width="10.5703125" style="1" customWidth="1"/>
    <col min="6923" max="6923" width="1.140625" style="1" customWidth="1"/>
    <col min="6924" max="6924" width="11.28515625" style="1" customWidth="1"/>
    <col min="6925" max="6925" width="12.7109375" style="1" customWidth="1"/>
    <col min="6926" max="6926" width="11.5703125" style="1" customWidth="1"/>
    <col min="6927" max="6927" width="12.42578125" style="1" customWidth="1"/>
    <col min="6928" max="6928" width="1.5703125" style="1" customWidth="1"/>
    <col min="6929" max="6929" width="11.42578125" style="1" customWidth="1"/>
    <col min="6930" max="6930" width="12.140625" style="1" customWidth="1"/>
    <col min="6931" max="6931" width="1.7109375" style="1" customWidth="1"/>
    <col min="6932" max="6932" width="13.5703125" style="1" customWidth="1"/>
    <col min="6933" max="7169" width="8.85546875" style="1"/>
    <col min="7170" max="7170" width="9.28515625" style="1" customWidth="1"/>
    <col min="7171" max="7171" width="1.7109375" style="1" customWidth="1"/>
    <col min="7172" max="7175" width="12" style="1" customWidth="1"/>
    <col min="7176" max="7176" width="11.85546875" style="1" customWidth="1"/>
    <col min="7177" max="7177" width="10.7109375" style="1" customWidth="1"/>
    <col min="7178" max="7178" width="10.5703125" style="1" customWidth="1"/>
    <col min="7179" max="7179" width="1.140625" style="1" customWidth="1"/>
    <col min="7180" max="7180" width="11.28515625" style="1" customWidth="1"/>
    <col min="7181" max="7181" width="12.7109375" style="1" customWidth="1"/>
    <col min="7182" max="7182" width="11.5703125" style="1" customWidth="1"/>
    <col min="7183" max="7183" width="12.42578125" style="1" customWidth="1"/>
    <col min="7184" max="7184" width="1.5703125" style="1" customWidth="1"/>
    <col min="7185" max="7185" width="11.42578125" style="1" customWidth="1"/>
    <col min="7186" max="7186" width="12.140625" style="1" customWidth="1"/>
    <col min="7187" max="7187" width="1.7109375" style="1" customWidth="1"/>
    <col min="7188" max="7188" width="13.5703125" style="1" customWidth="1"/>
    <col min="7189" max="7425" width="8.85546875" style="1"/>
    <col min="7426" max="7426" width="9.28515625" style="1" customWidth="1"/>
    <col min="7427" max="7427" width="1.7109375" style="1" customWidth="1"/>
    <col min="7428" max="7431" width="12" style="1" customWidth="1"/>
    <col min="7432" max="7432" width="11.85546875" style="1" customWidth="1"/>
    <col min="7433" max="7433" width="10.7109375" style="1" customWidth="1"/>
    <col min="7434" max="7434" width="10.5703125" style="1" customWidth="1"/>
    <col min="7435" max="7435" width="1.140625" style="1" customWidth="1"/>
    <col min="7436" max="7436" width="11.28515625" style="1" customWidth="1"/>
    <col min="7437" max="7437" width="12.7109375" style="1" customWidth="1"/>
    <col min="7438" max="7438" width="11.5703125" style="1" customWidth="1"/>
    <col min="7439" max="7439" width="12.42578125" style="1" customWidth="1"/>
    <col min="7440" max="7440" width="1.5703125" style="1" customWidth="1"/>
    <col min="7441" max="7441" width="11.42578125" style="1" customWidth="1"/>
    <col min="7442" max="7442" width="12.140625" style="1" customWidth="1"/>
    <col min="7443" max="7443" width="1.7109375" style="1" customWidth="1"/>
    <col min="7444" max="7444" width="13.5703125" style="1" customWidth="1"/>
    <col min="7445" max="7681" width="8.85546875" style="1"/>
    <col min="7682" max="7682" width="9.28515625" style="1" customWidth="1"/>
    <col min="7683" max="7683" width="1.7109375" style="1" customWidth="1"/>
    <col min="7684" max="7687" width="12" style="1" customWidth="1"/>
    <col min="7688" max="7688" width="11.85546875" style="1" customWidth="1"/>
    <col min="7689" max="7689" width="10.7109375" style="1" customWidth="1"/>
    <col min="7690" max="7690" width="10.5703125" style="1" customWidth="1"/>
    <col min="7691" max="7691" width="1.140625" style="1" customWidth="1"/>
    <col min="7692" max="7692" width="11.28515625" style="1" customWidth="1"/>
    <col min="7693" max="7693" width="12.7109375" style="1" customWidth="1"/>
    <col min="7694" max="7694" width="11.5703125" style="1" customWidth="1"/>
    <col min="7695" max="7695" width="12.42578125" style="1" customWidth="1"/>
    <col min="7696" max="7696" width="1.5703125" style="1" customWidth="1"/>
    <col min="7697" max="7697" width="11.42578125" style="1" customWidth="1"/>
    <col min="7698" max="7698" width="12.140625" style="1" customWidth="1"/>
    <col min="7699" max="7699" width="1.7109375" style="1" customWidth="1"/>
    <col min="7700" max="7700" width="13.5703125" style="1" customWidth="1"/>
    <col min="7701" max="7937" width="8.85546875" style="1"/>
    <col min="7938" max="7938" width="9.28515625" style="1" customWidth="1"/>
    <col min="7939" max="7939" width="1.7109375" style="1" customWidth="1"/>
    <col min="7940" max="7943" width="12" style="1" customWidth="1"/>
    <col min="7944" max="7944" width="11.85546875" style="1" customWidth="1"/>
    <col min="7945" max="7945" width="10.7109375" style="1" customWidth="1"/>
    <col min="7946" max="7946" width="10.5703125" style="1" customWidth="1"/>
    <col min="7947" max="7947" width="1.140625" style="1" customWidth="1"/>
    <col min="7948" max="7948" width="11.28515625" style="1" customWidth="1"/>
    <col min="7949" max="7949" width="12.7109375" style="1" customWidth="1"/>
    <col min="7950" max="7950" width="11.5703125" style="1" customWidth="1"/>
    <col min="7951" max="7951" width="12.42578125" style="1" customWidth="1"/>
    <col min="7952" max="7952" width="1.5703125" style="1" customWidth="1"/>
    <col min="7953" max="7953" width="11.42578125" style="1" customWidth="1"/>
    <col min="7954" max="7954" width="12.140625" style="1" customWidth="1"/>
    <col min="7955" max="7955" width="1.7109375" style="1" customWidth="1"/>
    <col min="7956" max="7956" width="13.5703125" style="1" customWidth="1"/>
    <col min="7957" max="8193" width="8.85546875" style="1"/>
    <col min="8194" max="8194" width="9.28515625" style="1" customWidth="1"/>
    <col min="8195" max="8195" width="1.7109375" style="1" customWidth="1"/>
    <col min="8196" max="8199" width="12" style="1" customWidth="1"/>
    <col min="8200" max="8200" width="11.85546875" style="1" customWidth="1"/>
    <col min="8201" max="8201" width="10.7109375" style="1" customWidth="1"/>
    <col min="8202" max="8202" width="10.5703125" style="1" customWidth="1"/>
    <col min="8203" max="8203" width="1.140625" style="1" customWidth="1"/>
    <col min="8204" max="8204" width="11.28515625" style="1" customWidth="1"/>
    <col min="8205" max="8205" width="12.7109375" style="1" customWidth="1"/>
    <col min="8206" max="8206" width="11.5703125" style="1" customWidth="1"/>
    <col min="8207" max="8207" width="12.42578125" style="1" customWidth="1"/>
    <col min="8208" max="8208" width="1.5703125" style="1" customWidth="1"/>
    <col min="8209" max="8209" width="11.42578125" style="1" customWidth="1"/>
    <col min="8210" max="8210" width="12.140625" style="1" customWidth="1"/>
    <col min="8211" max="8211" width="1.7109375" style="1" customWidth="1"/>
    <col min="8212" max="8212" width="13.5703125" style="1" customWidth="1"/>
    <col min="8213" max="8449" width="8.85546875" style="1"/>
    <col min="8450" max="8450" width="9.28515625" style="1" customWidth="1"/>
    <col min="8451" max="8451" width="1.7109375" style="1" customWidth="1"/>
    <col min="8452" max="8455" width="12" style="1" customWidth="1"/>
    <col min="8456" max="8456" width="11.85546875" style="1" customWidth="1"/>
    <col min="8457" max="8457" width="10.7109375" style="1" customWidth="1"/>
    <col min="8458" max="8458" width="10.5703125" style="1" customWidth="1"/>
    <col min="8459" max="8459" width="1.140625" style="1" customWidth="1"/>
    <col min="8460" max="8460" width="11.28515625" style="1" customWidth="1"/>
    <col min="8461" max="8461" width="12.7109375" style="1" customWidth="1"/>
    <col min="8462" max="8462" width="11.5703125" style="1" customWidth="1"/>
    <col min="8463" max="8463" width="12.42578125" style="1" customWidth="1"/>
    <col min="8464" max="8464" width="1.5703125" style="1" customWidth="1"/>
    <col min="8465" max="8465" width="11.42578125" style="1" customWidth="1"/>
    <col min="8466" max="8466" width="12.140625" style="1" customWidth="1"/>
    <col min="8467" max="8467" width="1.7109375" style="1" customWidth="1"/>
    <col min="8468" max="8468" width="13.5703125" style="1" customWidth="1"/>
    <col min="8469" max="8705" width="8.85546875" style="1"/>
    <col min="8706" max="8706" width="9.28515625" style="1" customWidth="1"/>
    <col min="8707" max="8707" width="1.7109375" style="1" customWidth="1"/>
    <col min="8708" max="8711" width="12" style="1" customWidth="1"/>
    <col min="8712" max="8712" width="11.85546875" style="1" customWidth="1"/>
    <col min="8713" max="8713" width="10.7109375" style="1" customWidth="1"/>
    <col min="8714" max="8714" width="10.5703125" style="1" customWidth="1"/>
    <col min="8715" max="8715" width="1.140625" style="1" customWidth="1"/>
    <col min="8716" max="8716" width="11.28515625" style="1" customWidth="1"/>
    <col min="8717" max="8717" width="12.7109375" style="1" customWidth="1"/>
    <col min="8718" max="8718" width="11.5703125" style="1" customWidth="1"/>
    <col min="8719" max="8719" width="12.42578125" style="1" customWidth="1"/>
    <col min="8720" max="8720" width="1.5703125" style="1" customWidth="1"/>
    <col min="8721" max="8721" width="11.42578125" style="1" customWidth="1"/>
    <col min="8722" max="8722" width="12.140625" style="1" customWidth="1"/>
    <col min="8723" max="8723" width="1.7109375" style="1" customWidth="1"/>
    <col min="8724" max="8724" width="13.5703125" style="1" customWidth="1"/>
    <col min="8725" max="8961" width="8.85546875" style="1"/>
    <col min="8962" max="8962" width="9.28515625" style="1" customWidth="1"/>
    <col min="8963" max="8963" width="1.7109375" style="1" customWidth="1"/>
    <col min="8964" max="8967" width="12" style="1" customWidth="1"/>
    <col min="8968" max="8968" width="11.85546875" style="1" customWidth="1"/>
    <col min="8969" max="8969" width="10.7109375" style="1" customWidth="1"/>
    <col min="8970" max="8970" width="10.5703125" style="1" customWidth="1"/>
    <col min="8971" max="8971" width="1.140625" style="1" customWidth="1"/>
    <col min="8972" max="8972" width="11.28515625" style="1" customWidth="1"/>
    <col min="8973" max="8973" width="12.7109375" style="1" customWidth="1"/>
    <col min="8974" max="8974" width="11.5703125" style="1" customWidth="1"/>
    <col min="8975" max="8975" width="12.42578125" style="1" customWidth="1"/>
    <col min="8976" max="8976" width="1.5703125" style="1" customWidth="1"/>
    <col min="8977" max="8977" width="11.42578125" style="1" customWidth="1"/>
    <col min="8978" max="8978" width="12.140625" style="1" customWidth="1"/>
    <col min="8979" max="8979" width="1.7109375" style="1" customWidth="1"/>
    <col min="8980" max="8980" width="13.5703125" style="1" customWidth="1"/>
    <col min="8981" max="9217" width="8.85546875" style="1"/>
    <col min="9218" max="9218" width="9.28515625" style="1" customWidth="1"/>
    <col min="9219" max="9219" width="1.7109375" style="1" customWidth="1"/>
    <col min="9220" max="9223" width="12" style="1" customWidth="1"/>
    <col min="9224" max="9224" width="11.85546875" style="1" customWidth="1"/>
    <col min="9225" max="9225" width="10.7109375" style="1" customWidth="1"/>
    <col min="9226" max="9226" width="10.5703125" style="1" customWidth="1"/>
    <col min="9227" max="9227" width="1.140625" style="1" customWidth="1"/>
    <col min="9228" max="9228" width="11.28515625" style="1" customWidth="1"/>
    <col min="9229" max="9229" width="12.7109375" style="1" customWidth="1"/>
    <col min="9230" max="9230" width="11.5703125" style="1" customWidth="1"/>
    <col min="9231" max="9231" width="12.42578125" style="1" customWidth="1"/>
    <col min="9232" max="9232" width="1.5703125" style="1" customWidth="1"/>
    <col min="9233" max="9233" width="11.42578125" style="1" customWidth="1"/>
    <col min="9234" max="9234" width="12.140625" style="1" customWidth="1"/>
    <col min="9235" max="9235" width="1.7109375" style="1" customWidth="1"/>
    <col min="9236" max="9236" width="13.5703125" style="1" customWidth="1"/>
    <col min="9237" max="9473" width="8.85546875" style="1"/>
    <col min="9474" max="9474" width="9.28515625" style="1" customWidth="1"/>
    <col min="9475" max="9475" width="1.7109375" style="1" customWidth="1"/>
    <col min="9476" max="9479" width="12" style="1" customWidth="1"/>
    <col min="9480" max="9480" width="11.85546875" style="1" customWidth="1"/>
    <col min="9481" max="9481" width="10.7109375" style="1" customWidth="1"/>
    <col min="9482" max="9482" width="10.5703125" style="1" customWidth="1"/>
    <col min="9483" max="9483" width="1.140625" style="1" customWidth="1"/>
    <col min="9484" max="9484" width="11.28515625" style="1" customWidth="1"/>
    <col min="9485" max="9485" width="12.7109375" style="1" customWidth="1"/>
    <col min="9486" max="9486" width="11.5703125" style="1" customWidth="1"/>
    <col min="9487" max="9487" width="12.42578125" style="1" customWidth="1"/>
    <col min="9488" max="9488" width="1.5703125" style="1" customWidth="1"/>
    <col min="9489" max="9489" width="11.42578125" style="1" customWidth="1"/>
    <col min="9490" max="9490" width="12.140625" style="1" customWidth="1"/>
    <col min="9491" max="9491" width="1.7109375" style="1" customWidth="1"/>
    <col min="9492" max="9492" width="13.5703125" style="1" customWidth="1"/>
    <col min="9493" max="9729" width="8.85546875" style="1"/>
    <col min="9730" max="9730" width="9.28515625" style="1" customWidth="1"/>
    <col min="9731" max="9731" width="1.7109375" style="1" customWidth="1"/>
    <col min="9732" max="9735" width="12" style="1" customWidth="1"/>
    <col min="9736" max="9736" width="11.85546875" style="1" customWidth="1"/>
    <col min="9737" max="9737" width="10.7109375" style="1" customWidth="1"/>
    <col min="9738" max="9738" width="10.5703125" style="1" customWidth="1"/>
    <col min="9739" max="9739" width="1.140625" style="1" customWidth="1"/>
    <col min="9740" max="9740" width="11.28515625" style="1" customWidth="1"/>
    <col min="9741" max="9741" width="12.7109375" style="1" customWidth="1"/>
    <col min="9742" max="9742" width="11.5703125" style="1" customWidth="1"/>
    <col min="9743" max="9743" width="12.42578125" style="1" customWidth="1"/>
    <col min="9744" max="9744" width="1.5703125" style="1" customWidth="1"/>
    <col min="9745" max="9745" width="11.42578125" style="1" customWidth="1"/>
    <col min="9746" max="9746" width="12.140625" style="1" customWidth="1"/>
    <col min="9747" max="9747" width="1.7109375" style="1" customWidth="1"/>
    <col min="9748" max="9748" width="13.5703125" style="1" customWidth="1"/>
    <col min="9749" max="9985" width="8.85546875" style="1"/>
    <col min="9986" max="9986" width="9.28515625" style="1" customWidth="1"/>
    <col min="9987" max="9987" width="1.7109375" style="1" customWidth="1"/>
    <col min="9988" max="9991" width="12" style="1" customWidth="1"/>
    <col min="9992" max="9992" width="11.85546875" style="1" customWidth="1"/>
    <col min="9993" max="9993" width="10.7109375" style="1" customWidth="1"/>
    <col min="9994" max="9994" width="10.5703125" style="1" customWidth="1"/>
    <col min="9995" max="9995" width="1.140625" style="1" customWidth="1"/>
    <col min="9996" max="9996" width="11.28515625" style="1" customWidth="1"/>
    <col min="9997" max="9997" width="12.7109375" style="1" customWidth="1"/>
    <col min="9998" max="9998" width="11.5703125" style="1" customWidth="1"/>
    <col min="9999" max="9999" width="12.42578125" style="1" customWidth="1"/>
    <col min="10000" max="10000" width="1.5703125" style="1" customWidth="1"/>
    <col min="10001" max="10001" width="11.42578125" style="1" customWidth="1"/>
    <col min="10002" max="10002" width="12.140625" style="1" customWidth="1"/>
    <col min="10003" max="10003" width="1.7109375" style="1" customWidth="1"/>
    <col min="10004" max="10004" width="13.5703125" style="1" customWidth="1"/>
    <col min="10005" max="10241" width="8.85546875" style="1"/>
    <col min="10242" max="10242" width="9.28515625" style="1" customWidth="1"/>
    <col min="10243" max="10243" width="1.7109375" style="1" customWidth="1"/>
    <col min="10244" max="10247" width="12" style="1" customWidth="1"/>
    <col min="10248" max="10248" width="11.85546875" style="1" customWidth="1"/>
    <col min="10249" max="10249" width="10.7109375" style="1" customWidth="1"/>
    <col min="10250" max="10250" width="10.5703125" style="1" customWidth="1"/>
    <col min="10251" max="10251" width="1.140625" style="1" customWidth="1"/>
    <col min="10252" max="10252" width="11.28515625" style="1" customWidth="1"/>
    <col min="10253" max="10253" width="12.7109375" style="1" customWidth="1"/>
    <col min="10254" max="10254" width="11.5703125" style="1" customWidth="1"/>
    <col min="10255" max="10255" width="12.42578125" style="1" customWidth="1"/>
    <col min="10256" max="10256" width="1.5703125" style="1" customWidth="1"/>
    <col min="10257" max="10257" width="11.42578125" style="1" customWidth="1"/>
    <col min="10258" max="10258" width="12.140625" style="1" customWidth="1"/>
    <col min="10259" max="10259" width="1.7109375" style="1" customWidth="1"/>
    <col min="10260" max="10260" width="13.5703125" style="1" customWidth="1"/>
    <col min="10261" max="10497" width="8.85546875" style="1"/>
    <col min="10498" max="10498" width="9.28515625" style="1" customWidth="1"/>
    <col min="10499" max="10499" width="1.7109375" style="1" customWidth="1"/>
    <col min="10500" max="10503" width="12" style="1" customWidth="1"/>
    <col min="10504" max="10504" width="11.85546875" style="1" customWidth="1"/>
    <col min="10505" max="10505" width="10.7109375" style="1" customWidth="1"/>
    <col min="10506" max="10506" width="10.5703125" style="1" customWidth="1"/>
    <col min="10507" max="10507" width="1.140625" style="1" customWidth="1"/>
    <col min="10508" max="10508" width="11.28515625" style="1" customWidth="1"/>
    <col min="10509" max="10509" width="12.7109375" style="1" customWidth="1"/>
    <col min="10510" max="10510" width="11.5703125" style="1" customWidth="1"/>
    <col min="10511" max="10511" width="12.42578125" style="1" customWidth="1"/>
    <col min="10512" max="10512" width="1.5703125" style="1" customWidth="1"/>
    <col min="10513" max="10513" width="11.42578125" style="1" customWidth="1"/>
    <col min="10514" max="10514" width="12.140625" style="1" customWidth="1"/>
    <col min="10515" max="10515" width="1.7109375" style="1" customWidth="1"/>
    <col min="10516" max="10516" width="13.5703125" style="1" customWidth="1"/>
    <col min="10517" max="10753" width="8.85546875" style="1"/>
    <col min="10754" max="10754" width="9.28515625" style="1" customWidth="1"/>
    <col min="10755" max="10755" width="1.7109375" style="1" customWidth="1"/>
    <col min="10756" max="10759" width="12" style="1" customWidth="1"/>
    <col min="10760" max="10760" width="11.85546875" style="1" customWidth="1"/>
    <col min="10761" max="10761" width="10.7109375" style="1" customWidth="1"/>
    <col min="10762" max="10762" width="10.5703125" style="1" customWidth="1"/>
    <col min="10763" max="10763" width="1.140625" style="1" customWidth="1"/>
    <col min="10764" max="10764" width="11.28515625" style="1" customWidth="1"/>
    <col min="10765" max="10765" width="12.7109375" style="1" customWidth="1"/>
    <col min="10766" max="10766" width="11.5703125" style="1" customWidth="1"/>
    <col min="10767" max="10767" width="12.42578125" style="1" customWidth="1"/>
    <col min="10768" max="10768" width="1.5703125" style="1" customWidth="1"/>
    <col min="10769" max="10769" width="11.42578125" style="1" customWidth="1"/>
    <col min="10770" max="10770" width="12.140625" style="1" customWidth="1"/>
    <col min="10771" max="10771" width="1.7109375" style="1" customWidth="1"/>
    <col min="10772" max="10772" width="13.5703125" style="1" customWidth="1"/>
    <col min="10773" max="11009" width="8.85546875" style="1"/>
    <col min="11010" max="11010" width="9.28515625" style="1" customWidth="1"/>
    <col min="11011" max="11011" width="1.7109375" style="1" customWidth="1"/>
    <col min="11012" max="11015" width="12" style="1" customWidth="1"/>
    <col min="11016" max="11016" width="11.85546875" style="1" customWidth="1"/>
    <col min="11017" max="11017" width="10.7109375" style="1" customWidth="1"/>
    <col min="11018" max="11018" width="10.5703125" style="1" customWidth="1"/>
    <col min="11019" max="11019" width="1.140625" style="1" customWidth="1"/>
    <col min="11020" max="11020" width="11.28515625" style="1" customWidth="1"/>
    <col min="11021" max="11021" width="12.7109375" style="1" customWidth="1"/>
    <col min="11022" max="11022" width="11.5703125" style="1" customWidth="1"/>
    <col min="11023" max="11023" width="12.42578125" style="1" customWidth="1"/>
    <col min="11024" max="11024" width="1.5703125" style="1" customWidth="1"/>
    <col min="11025" max="11025" width="11.42578125" style="1" customWidth="1"/>
    <col min="11026" max="11026" width="12.140625" style="1" customWidth="1"/>
    <col min="11027" max="11027" width="1.7109375" style="1" customWidth="1"/>
    <col min="11028" max="11028" width="13.5703125" style="1" customWidth="1"/>
    <col min="11029" max="11265" width="8.85546875" style="1"/>
    <col min="11266" max="11266" width="9.28515625" style="1" customWidth="1"/>
    <col min="11267" max="11267" width="1.7109375" style="1" customWidth="1"/>
    <col min="11268" max="11271" width="12" style="1" customWidth="1"/>
    <col min="11272" max="11272" width="11.85546875" style="1" customWidth="1"/>
    <col min="11273" max="11273" width="10.7109375" style="1" customWidth="1"/>
    <col min="11274" max="11274" width="10.5703125" style="1" customWidth="1"/>
    <col min="11275" max="11275" width="1.140625" style="1" customWidth="1"/>
    <col min="11276" max="11276" width="11.28515625" style="1" customWidth="1"/>
    <col min="11277" max="11277" width="12.7109375" style="1" customWidth="1"/>
    <col min="11278" max="11278" width="11.5703125" style="1" customWidth="1"/>
    <col min="11279" max="11279" width="12.42578125" style="1" customWidth="1"/>
    <col min="11280" max="11280" width="1.5703125" style="1" customWidth="1"/>
    <col min="11281" max="11281" width="11.42578125" style="1" customWidth="1"/>
    <col min="11282" max="11282" width="12.140625" style="1" customWidth="1"/>
    <col min="11283" max="11283" width="1.7109375" style="1" customWidth="1"/>
    <col min="11284" max="11284" width="13.5703125" style="1" customWidth="1"/>
    <col min="11285" max="11521" width="8.85546875" style="1"/>
    <col min="11522" max="11522" width="9.28515625" style="1" customWidth="1"/>
    <col min="11523" max="11523" width="1.7109375" style="1" customWidth="1"/>
    <col min="11524" max="11527" width="12" style="1" customWidth="1"/>
    <col min="11528" max="11528" width="11.85546875" style="1" customWidth="1"/>
    <col min="11529" max="11529" width="10.7109375" style="1" customWidth="1"/>
    <col min="11530" max="11530" width="10.5703125" style="1" customWidth="1"/>
    <col min="11531" max="11531" width="1.140625" style="1" customWidth="1"/>
    <col min="11532" max="11532" width="11.28515625" style="1" customWidth="1"/>
    <col min="11533" max="11533" width="12.7109375" style="1" customWidth="1"/>
    <col min="11534" max="11534" width="11.5703125" style="1" customWidth="1"/>
    <col min="11535" max="11535" width="12.42578125" style="1" customWidth="1"/>
    <col min="11536" max="11536" width="1.5703125" style="1" customWidth="1"/>
    <col min="11537" max="11537" width="11.42578125" style="1" customWidth="1"/>
    <col min="11538" max="11538" width="12.140625" style="1" customWidth="1"/>
    <col min="11539" max="11539" width="1.7109375" style="1" customWidth="1"/>
    <col min="11540" max="11540" width="13.5703125" style="1" customWidth="1"/>
    <col min="11541" max="11777" width="8.85546875" style="1"/>
    <col min="11778" max="11778" width="9.28515625" style="1" customWidth="1"/>
    <col min="11779" max="11779" width="1.7109375" style="1" customWidth="1"/>
    <col min="11780" max="11783" width="12" style="1" customWidth="1"/>
    <col min="11784" max="11784" width="11.85546875" style="1" customWidth="1"/>
    <col min="11785" max="11785" width="10.7109375" style="1" customWidth="1"/>
    <col min="11786" max="11786" width="10.5703125" style="1" customWidth="1"/>
    <col min="11787" max="11787" width="1.140625" style="1" customWidth="1"/>
    <col min="11788" max="11788" width="11.28515625" style="1" customWidth="1"/>
    <col min="11789" max="11789" width="12.7109375" style="1" customWidth="1"/>
    <col min="11790" max="11790" width="11.5703125" style="1" customWidth="1"/>
    <col min="11791" max="11791" width="12.42578125" style="1" customWidth="1"/>
    <col min="11792" max="11792" width="1.5703125" style="1" customWidth="1"/>
    <col min="11793" max="11793" width="11.42578125" style="1" customWidth="1"/>
    <col min="11794" max="11794" width="12.140625" style="1" customWidth="1"/>
    <col min="11795" max="11795" width="1.7109375" style="1" customWidth="1"/>
    <col min="11796" max="11796" width="13.5703125" style="1" customWidth="1"/>
    <col min="11797" max="12033" width="8.85546875" style="1"/>
    <col min="12034" max="12034" width="9.28515625" style="1" customWidth="1"/>
    <col min="12035" max="12035" width="1.7109375" style="1" customWidth="1"/>
    <col min="12036" max="12039" width="12" style="1" customWidth="1"/>
    <col min="12040" max="12040" width="11.85546875" style="1" customWidth="1"/>
    <col min="12041" max="12041" width="10.7109375" style="1" customWidth="1"/>
    <col min="12042" max="12042" width="10.5703125" style="1" customWidth="1"/>
    <col min="12043" max="12043" width="1.140625" style="1" customWidth="1"/>
    <col min="12044" max="12044" width="11.28515625" style="1" customWidth="1"/>
    <col min="12045" max="12045" width="12.7109375" style="1" customWidth="1"/>
    <col min="12046" max="12046" width="11.5703125" style="1" customWidth="1"/>
    <col min="12047" max="12047" width="12.42578125" style="1" customWidth="1"/>
    <col min="12048" max="12048" width="1.5703125" style="1" customWidth="1"/>
    <col min="12049" max="12049" width="11.42578125" style="1" customWidth="1"/>
    <col min="12050" max="12050" width="12.140625" style="1" customWidth="1"/>
    <col min="12051" max="12051" width="1.7109375" style="1" customWidth="1"/>
    <col min="12052" max="12052" width="13.5703125" style="1" customWidth="1"/>
    <col min="12053" max="12289" width="8.85546875" style="1"/>
    <col min="12290" max="12290" width="9.28515625" style="1" customWidth="1"/>
    <col min="12291" max="12291" width="1.7109375" style="1" customWidth="1"/>
    <col min="12292" max="12295" width="12" style="1" customWidth="1"/>
    <col min="12296" max="12296" width="11.85546875" style="1" customWidth="1"/>
    <col min="12297" max="12297" width="10.7109375" style="1" customWidth="1"/>
    <col min="12298" max="12298" width="10.5703125" style="1" customWidth="1"/>
    <col min="12299" max="12299" width="1.140625" style="1" customWidth="1"/>
    <col min="12300" max="12300" width="11.28515625" style="1" customWidth="1"/>
    <col min="12301" max="12301" width="12.7109375" style="1" customWidth="1"/>
    <col min="12302" max="12302" width="11.5703125" style="1" customWidth="1"/>
    <col min="12303" max="12303" width="12.42578125" style="1" customWidth="1"/>
    <col min="12304" max="12304" width="1.5703125" style="1" customWidth="1"/>
    <col min="12305" max="12305" width="11.42578125" style="1" customWidth="1"/>
    <col min="12306" max="12306" width="12.140625" style="1" customWidth="1"/>
    <col min="12307" max="12307" width="1.7109375" style="1" customWidth="1"/>
    <col min="12308" max="12308" width="13.5703125" style="1" customWidth="1"/>
    <col min="12309" max="12545" width="8.85546875" style="1"/>
    <col min="12546" max="12546" width="9.28515625" style="1" customWidth="1"/>
    <col min="12547" max="12547" width="1.7109375" style="1" customWidth="1"/>
    <col min="12548" max="12551" width="12" style="1" customWidth="1"/>
    <col min="12552" max="12552" width="11.85546875" style="1" customWidth="1"/>
    <col min="12553" max="12553" width="10.7109375" style="1" customWidth="1"/>
    <col min="12554" max="12554" width="10.5703125" style="1" customWidth="1"/>
    <col min="12555" max="12555" width="1.140625" style="1" customWidth="1"/>
    <col min="12556" max="12556" width="11.28515625" style="1" customWidth="1"/>
    <col min="12557" max="12557" width="12.7109375" style="1" customWidth="1"/>
    <col min="12558" max="12558" width="11.5703125" style="1" customWidth="1"/>
    <col min="12559" max="12559" width="12.42578125" style="1" customWidth="1"/>
    <col min="12560" max="12560" width="1.5703125" style="1" customWidth="1"/>
    <col min="12561" max="12561" width="11.42578125" style="1" customWidth="1"/>
    <col min="12562" max="12562" width="12.140625" style="1" customWidth="1"/>
    <col min="12563" max="12563" width="1.7109375" style="1" customWidth="1"/>
    <col min="12564" max="12564" width="13.5703125" style="1" customWidth="1"/>
    <col min="12565" max="12801" width="8.85546875" style="1"/>
    <col min="12802" max="12802" width="9.28515625" style="1" customWidth="1"/>
    <col min="12803" max="12803" width="1.7109375" style="1" customWidth="1"/>
    <col min="12804" max="12807" width="12" style="1" customWidth="1"/>
    <col min="12808" max="12808" width="11.85546875" style="1" customWidth="1"/>
    <col min="12809" max="12809" width="10.7109375" style="1" customWidth="1"/>
    <col min="12810" max="12810" width="10.5703125" style="1" customWidth="1"/>
    <col min="12811" max="12811" width="1.140625" style="1" customWidth="1"/>
    <col min="12812" max="12812" width="11.28515625" style="1" customWidth="1"/>
    <col min="12813" max="12813" width="12.7109375" style="1" customWidth="1"/>
    <col min="12814" max="12814" width="11.5703125" style="1" customWidth="1"/>
    <col min="12815" max="12815" width="12.42578125" style="1" customWidth="1"/>
    <col min="12816" max="12816" width="1.5703125" style="1" customWidth="1"/>
    <col min="12817" max="12817" width="11.42578125" style="1" customWidth="1"/>
    <col min="12818" max="12818" width="12.140625" style="1" customWidth="1"/>
    <col min="12819" max="12819" width="1.7109375" style="1" customWidth="1"/>
    <col min="12820" max="12820" width="13.5703125" style="1" customWidth="1"/>
    <col min="12821" max="13057" width="8.85546875" style="1"/>
    <col min="13058" max="13058" width="9.28515625" style="1" customWidth="1"/>
    <col min="13059" max="13059" width="1.7109375" style="1" customWidth="1"/>
    <col min="13060" max="13063" width="12" style="1" customWidth="1"/>
    <col min="13064" max="13064" width="11.85546875" style="1" customWidth="1"/>
    <col min="13065" max="13065" width="10.7109375" style="1" customWidth="1"/>
    <col min="13066" max="13066" width="10.5703125" style="1" customWidth="1"/>
    <col min="13067" max="13067" width="1.140625" style="1" customWidth="1"/>
    <col min="13068" max="13068" width="11.28515625" style="1" customWidth="1"/>
    <col min="13069" max="13069" width="12.7109375" style="1" customWidth="1"/>
    <col min="13070" max="13070" width="11.5703125" style="1" customWidth="1"/>
    <col min="13071" max="13071" width="12.42578125" style="1" customWidth="1"/>
    <col min="13072" max="13072" width="1.5703125" style="1" customWidth="1"/>
    <col min="13073" max="13073" width="11.42578125" style="1" customWidth="1"/>
    <col min="13074" max="13074" width="12.140625" style="1" customWidth="1"/>
    <col min="13075" max="13075" width="1.7109375" style="1" customWidth="1"/>
    <col min="13076" max="13076" width="13.5703125" style="1" customWidth="1"/>
    <col min="13077" max="13313" width="8.85546875" style="1"/>
    <col min="13314" max="13314" width="9.28515625" style="1" customWidth="1"/>
    <col min="13315" max="13315" width="1.7109375" style="1" customWidth="1"/>
    <col min="13316" max="13319" width="12" style="1" customWidth="1"/>
    <col min="13320" max="13320" width="11.85546875" style="1" customWidth="1"/>
    <col min="13321" max="13321" width="10.7109375" style="1" customWidth="1"/>
    <col min="13322" max="13322" width="10.5703125" style="1" customWidth="1"/>
    <col min="13323" max="13323" width="1.140625" style="1" customWidth="1"/>
    <col min="13324" max="13324" width="11.28515625" style="1" customWidth="1"/>
    <col min="13325" max="13325" width="12.7109375" style="1" customWidth="1"/>
    <col min="13326" max="13326" width="11.5703125" style="1" customWidth="1"/>
    <col min="13327" max="13327" width="12.42578125" style="1" customWidth="1"/>
    <col min="13328" max="13328" width="1.5703125" style="1" customWidth="1"/>
    <col min="13329" max="13329" width="11.42578125" style="1" customWidth="1"/>
    <col min="13330" max="13330" width="12.140625" style="1" customWidth="1"/>
    <col min="13331" max="13331" width="1.7109375" style="1" customWidth="1"/>
    <col min="13332" max="13332" width="13.5703125" style="1" customWidth="1"/>
    <col min="13333" max="13569" width="8.85546875" style="1"/>
    <col min="13570" max="13570" width="9.28515625" style="1" customWidth="1"/>
    <col min="13571" max="13571" width="1.7109375" style="1" customWidth="1"/>
    <col min="13572" max="13575" width="12" style="1" customWidth="1"/>
    <col min="13576" max="13576" width="11.85546875" style="1" customWidth="1"/>
    <col min="13577" max="13577" width="10.7109375" style="1" customWidth="1"/>
    <col min="13578" max="13578" width="10.5703125" style="1" customWidth="1"/>
    <col min="13579" max="13579" width="1.140625" style="1" customWidth="1"/>
    <col min="13580" max="13580" width="11.28515625" style="1" customWidth="1"/>
    <col min="13581" max="13581" width="12.7109375" style="1" customWidth="1"/>
    <col min="13582" max="13582" width="11.5703125" style="1" customWidth="1"/>
    <col min="13583" max="13583" width="12.42578125" style="1" customWidth="1"/>
    <col min="13584" max="13584" width="1.5703125" style="1" customWidth="1"/>
    <col min="13585" max="13585" width="11.42578125" style="1" customWidth="1"/>
    <col min="13586" max="13586" width="12.140625" style="1" customWidth="1"/>
    <col min="13587" max="13587" width="1.7109375" style="1" customWidth="1"/>
    <col min="13588" max="13588" width="13.5703125" style="1" customWidth="1"/>
    <col min="13589" max="13825" width="8.85546875" style="1"/>
    <col min="13826" max="13826" width="9.28515625" style="1" customWidth="1"/>
    <col min="13827" max="13827" width="1.7109375" style="1" customWidth="1"/>
    <col min="13828" max="13831" width="12" style="1" customWidth="1"/>
    <col min="13832" max="13832" width="11.85546875" style="1" customWidth="1"/>
    <col min="13833" max="13833" width="10.7109375" style="1" customWidth="1"/>
    <col min="13834" max="13834" width="10.5703125" style="1" customWidth="1"/>
    <col min="13835" max="13835" width="1.140625" style="1" customWidth="1"/>
    <col min="13836" max="13836" width="11.28515625" style="1" customWidth="1"/>
    <col min="13837" max="13837" width="12.7109375" style="1" customWidth="1"/>
    <col min="13838" max="13838" width="11.5703125" style="1" customWidth="1"/>
    <col min="13839" max="13839" width="12.42578125" style="1" customWidth="1"/>
    <col min="13840" max="13840" width="1.5703125" style="1" customWidth="1"/>
    <col min="13841" max="13841" width="11.42578125" style="1" customWidth="1"/>
    <col min="13842" max="13842" width="12.140625" style="1" customWidth="1"/>
    <col min="13843" max="13843" width="1.7109375" style="1" customWidth="1"/>
    <col min="13844" max="13844" width="13.5703125" style="1" customWidth="1"/>
    <col min="13845" max="14081" width="8.85546875" style="1"/>
    <col min="14082" max="14082" width="9.28515625" style="1" customWidth="1"/>
    <col min="14083" max="14083" width="1.7109375" style="1" customWidth="1"/>
    <col min="14084" max="14087" width="12" style="1" customWidth="1"/>
    <col min="14088" max="14088" width="11.85546875" style="1" customWidth="1"/>
    <col min="14089" max="14089" width="10.7109375" style="1" customWidth="1"/>
    <col min="14090" max="14090" width="10.5703125" style="1" customWidth="1"/>
    <col min="14091" max="14091" width="1.140625" style="1" customWidth="1"/>
    <col min="14092" max="14092" width="11.28515625" style="1" customWidth="1"/>
    <col min="14093" max="14093" width="12.7109375" style="1" customWidth="1"/>
    <col min="14094" max="14094" width="11.5703125" style="1" customWidth="1"/>
    <col min="14095" max="14095" width="12.42578125" style="1" customWidth="1"/>
    <col min="14096" max="14096" width="1.5703125" style="1" customWidth="1"/>
    <col min="14097" max="14097" width="11.42578125" style="1" customWidth="1"/>
    <col min="14098" max="14098" width="12.140625" style="1" customWidth="1"/>
    <col min="14099" max="14099" width="1.7109375" style="1" customWidth="1"/>
    <col min="14100" max="14100" width="13.5703125" style="1" customWidth="1"/>
    <col min="14101" max="14337" width="8.85546875" style="1"/>
    <col min="14338" max="14338" width="9.28515625" style="1" customWidth="1"/>
    <col min="14339" max="14339" width="1.7109375" style="1" customWidth="1"/>
    <col min="14340" max="14343" width="12" style="1" customWidth="1"/>
    <col min="14344" max="14344" width="11.85546875" style="1" customWidth="1"/>
    <col min="14345" max="14345" width="10.7109375" style="1" customWidth="1"/>
    <col min="14346" max="14346" width="10.5703125" style="1" customWidth="1"/>
    <col min="14347" max="14347" width="1.140625" style="1" customWidth="1"/>
    <col min="14348" max="14348" width="11.28515625" style="1" customWidth="1"/>
    <col min="14349" max="14349" width="12.7109375" style="1" customWidth="1"/>
    <col min="14350" max="14350" width="11.5703125" style="1" customWidth="1"/>
    <col min="14351" max="14351" width="12.42578125" style="1" customWidth="1"/>
    <col min="14352" max="14352" width="1.5703125" style="1" customWidth="1"/>
    <col min="14353" max="14353" width="11.42578125" style="1" customWidth="1"/>
    <col min="14354" max="14354" width="12.140625" style="1" customWidth="1"/>
    <col min="14355" max="14355" width="1.7109375" style="1" customWidth="1"/>
    <col min="14356" max="14356" width="13.5703125" style="1" customWidth="1"/>
    <col min="14357" max="14593" width="8.85546875" style="1"/>
    <col min="14594" max="14594" width="9.28515625" style="1" customWidth="1"/>
    <col min="14595" max="14595" width="1.7109375" style="1" customWidth="1"/>
    <col min="14596" max="14599" width="12" style="1" customWidth="1"/>
    <col min="14600" max="14600" width="11.85546875" style="1" customWidth="1"/>
    <col min="14601" max="14601" width="10.7109375" style="1" customWidth="1"/>
    <col min="14602" max="14602" width="10.5703125" style="1" customWidth="1"/>
    <col min="14603" max="14603" width="1.140625" style="1" customWidth="1"/>
    <col min="14604" max="14604" width="11.28515625" style="1" customWidth="1"/>
    <col min="14605" max="14605" width="12.7109375" style="1" customWidth="1"/>
    <col min="14606" max="14606" width="11.5703125" style="1" customWidth="1"/>
    <col min="14607" max="14607" width="12.42578125" style="1" customWidth="1"/>
    <col min="14608" max="14608" width="1.5703125" style="1" customWidth="1"/>
    <col min="14609" max="14609" width="11.42578125" style="1" customWidth="1"/>
    <col min="14610" max="14610" width="12.140625" style="1" customWidth="1"/>
    <col min="14611" max="14611" width="1.7109375" style="1" customWidth="1"/>
    <col min="14612" max="14612" width="13.5703125" style="1" customWidth="1"/>
    <col min="14613" max="14849" width="8.85546875" style="1"/>
    <col min="14850" max="14850" width="9.28515625" style="1" customWidth="1"/>
    <col min="14851" max="14851" width="1.7109375" style="1" customWidth="1"/>
    <col min="14852" max="14855" width="12" style="1" customWidth="1"/>
    <col min="14856" max="14856" width="11.85546875" style="1" customWidth="1"/>
    <col min="14857" max="14857" width="10.7109375" style="1" customWidth="1"/>
    <col min="14858" max="14858" width="10.5703125" style="1" customWidth="1"/>
    <col min="14859" max="14859" width="1.140625" style="1" customWidth="1"/>
    <col min="14860" max="14860" width="11.28515625" style="1" customWidth="1"/>
    <col min="14861" max="14861" width="12.7109375" style="1" customWidth="1"/>
    <col min="14862" max="14862" width="11.5703125" style="1" customWidth="1"/>
    <col min="14863" max="14863" width="12.42578125" style="1" customWidth="1"/>
    <col min="14864" max="14864" width="1.5703125" style="1" customWidth="1"/>
    <col min="14865" max="14865" width="11.42578125" style="1" customWidth="1"/>
    <col min="14866" max="14866" width="12.140625" style="1" customWidth="1"/>
    <col min="14867" max="14867" width="1.7109375" style="1" customWidth="1"/>
    <col min="14868" max="14868" width="13.5703125" style="1" customWidth="1"/>
    <col min="14869" max="15105" width="8.85546875" style="1"/>
    <col min="15106" max="15106" width="9.28515625" style="1" customWidth="1"/>
    <col min="15107" max="15107" width="1.7109375" style="1" customWidth="1"/>
    <col min="15108" max="15111" width="12" style="1" customWidth="1"/>
    <col min="15112" max="15112" width="11.85546875" style="1" customWidth="1"/>
    <col min="15113" max="15113" width="10.7109375" style="1" customWidth="1"/>
    <col min="15114" max="15114" width="10.5703125" style="1" customWidth="1"/>
    <col min="15115" max="15115" width="1.140625" style="1" customWidth="1"/>
    <col min="15116" max="15116" width="11.28515625" style="1" customWidth="1"/>
    <col min="15117" max="15117" width="12.7109375" style="1" customWidth="1"/>
    <col min="15118" max="15118" width="11.5703125" style="1" customWidth="1"/>
    <col min="15119" max="15119" width="12.42578125" style="1" customWidth="1"/>
    <col min="15120" max="15120" width="1.5703125" style="1" customWidth="1"/>
    <col min="15121" max="15121" width="11.42578125" style="1" customWidth="1"/>
    <col min="15122" max="15122" width="12.140625" style="1" customWidth="1"/>
    <col min="15123" max="15123" width="1.7109375" style="1" customWidth="1"/>
    <col min="15124" max="15124" width="13.5703125" style="1" customWidth="1"/>
    <col min="15125" max="15361" width="8.85546875" style="1"/>
    <col min="15362" max="15362" width="9.28515625" style="1" customWidth="1"/>
    <col min="15363" max="15363" width="1.7109375" style="1" customWidth="1"/>
    <col min="15364" max="15367" width="12" style="1" customWidth="1"/>
    <col min="15368" max="15368" width="11.85546875" style="1" customWidth="1"/>
    <col min="15369" max="15369" width="10.7109375" style="1" customWidth="1"/>
    <col min="15370" max="15370" width="10.5703125" style="1" customWidth="1"/>
    <col min="15371" max="15371" width="1.140625" style="1" customWidth="1"/>
    <col min="15372" max="15372" width="11.28515625" style="1" customWidth="1"/>
    <col min="15373" max="15373" width="12.7109375" style="1" customWidth="1"/>
    <col min="15374" max="15374" width="11.5703125" style="1" customWidth="1"/>
    <col min="15375" max="15375" width="12.42578125" style="1" customWidth="1"/>
    <col min="15376" max="15376" width="1.5703125" style="1" customWidth="1"/>
    <col min="15377" max="15377" width="11.42578125" style="1" customWidth="1"/>
    <col min="15378" max="15378" width="12.140625" style="1" customWidth="1"/>
    <col min="15379" max="15379" width="1.7109375" style="1" customWidth="1"/>
    <col min="15380" max="15380" width="13.5703125" style="1" customWidth="1"/>
    <col min="15381" max="15617" width="8.85546875" style="1"/>
    <col min="15618" max="15618" width="9.28515625" style="1" customWidth="1"/>
    <col min="15619" max="15619" width="1.7109375" style="1" customWidth="1"/>
    <col min="15620" max="15623" width="12" style="1" customWidth="1"/>
    <col min="15624" max="15624" width="11.85546875" style="1" customWidth="1"/>
    <col min="15625" max="15625" width="10.7109375" style="1" customWidth="1"/>
    <col min="15626" max="15626" width="10.5703125" style="1" customWidth="1"/>
    <col min="15627" max="15627" width="1.140625" style="1" customWidth="1"/>
    <col min="15628" max="15628" width="11.28515625" style="1" customWidth="1"/>
    <col min="15629" max="15629" width="12.7109375" style="1" customWidth="1"/>
    <col min="15630" max="15630" width="11.5703125" style="1" customWidth="1"/>
    <col min="15631" max="15631" width="12.42578125" style="1" customWidth="1"/>
    <col min="15632" max="15632" width="1.5703125" style="1" customWidth="1"/>
    <col min="15633" max="15633" width="11.42578125" style="1" customWidth="1"/>
    <col min="15634" max="15634" width="12.140625" style="1" customWidth="1"/>
    <col min="15635" max="15635" width="1.7109375" style="1" customWidth="1"/>
    <col min="15636" max="15636" width="13.5703125" style="1" customWidth="1"/>
    <col min="15637" max="15873" width="8.85546875" style="1"/>
    <col min="15874" max="15874" width="9.28515625" style="1" customWidth="1"/>
    <col min="15875" max="15875" width="1.7109375" style="1" customWidth="1"/>
    <col min="15876" max="15879" width="12" style="1" customWidth="1"/>
    <col min="15880" max="15880" width="11.85546875" style="1" customWidth="1"/>
    <col min="15881" max="15881" width="10.7109375" style="1" customWidth="1"/>
    <col min="15882" max="15882" width="10.5703125" style="1" customWidth="1"/>
    <col min="15883" max="15883" width="1.140625" style="1" customWidth="1"/>
    <col min="15884" max="15884" width="11.28515625" style="1" customWidth="1"/>
    <col min="15885" max="15885" width="12.7109375" style="1" customWidth="1"/>
    <col min="15886" max="15886" width="11.5703125" style="1" customWidth="1"/>
    <col min="15887" max="15887" width="12.42578125" style="1" customWidth="1"/>
    <col min="15888" max="15888" width="1.5703125" style="1" customWidth="1"/>
    <col min="15889" max="15889" width="11.42578125" style="1" customWidth="1"/>
    <col min="15890" max="15890" width="12.140625" style="1" customWidth="1"/>
    <col min="15891" max="15891" width="1.7109375" style="1" customWidth="1"/>
    <col min="15892" max="15892" width="13.5703125" style="1" customWidth="1"/>
    <col min="15893" max="16129" width="8.85546875" style="1"/>
    <col min="16130" max="16130" width="9.28515625" style="1" customWidth="1"/>
    <col min="16131" max="16131" width="1.7109375" style="1" customWidth="1"/>
    <col min="16132" max="16135" width="12" style="1" customWidth="1"/>
    <col min="16136" max="16136" width="11.85546875" style="1" customWidth="1"/>
    <col min="16137" max="16137" width="10.7109375" style="1" customWidth="1"/>
    <col min="16138" max="16138" width="10.5703125" style="1" customWidth="1"/>
    <col min="16139" max="16139" width="1.140625" style="1" customWidth="1"/>
    <col min="16140" max="16140" width="11.28515625" style="1" customWidth="1"/>
    <col min="16141" max="16141" width="12.7109375" style="1" customWidth="1"/>
    <col min="16142" max="16142" width="11.5703125" style="1" customWidth="1"/>
    <col min="16143" max="16143" width="12.42578125" style="1" customWidth="1"/>
    <col min="16144" max="16144" width="1.5703125" style="1" customWidth="1"/>
    <col min="16145" max="16145" width="11.42578125" style="1" customWidth="1"/>
    <col min="16146" max="16146" width="12.140625" style="1" customWidth="1"/>
    <col min="16147" max="16147" width="1.7109375" style="1" customWidth="1"/>
    <col min="16148" max="16148" width="13.5703125" style="1" customWidth="1"/>
    <col min="16149" max="16384" width="8.85546875" style="1"/>
  </cols>
  <sheetData>
    <row r="1" spans="1:21" ht="18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1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1" s="2" customFormat="1" ht="15.75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1" s="3" customFormat="1" ht="14.25" customHeight="1" x14ac:dyDescent="0.25">
      <c r="A4" s="98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1" s="3" customForma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/>
    </row>
    <row r="6" spans="1:21" s="2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</row>
    <row r="8" spans="1:21" s="9" customFormat="1" ht="14.25" customHeight="1" x14ac:dyDescent="0.25">
      <c r="A8" s="93" t="s">
        <v>5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</row>
    <row r="9" spans="1:21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8"/>
      <c r="J9" s="7"/>
      <c r="K9" s="7"/>
      <c r="L9" s="7"/>
      <c r="M9" s="7"/>
      <c r="N9" s="7"/>
      <c r="O9" s="7"/>
      <c r="P9" s="7"/>
      <c r="Q9" s="7"/>
      <c r="R9" s="7"/>
    </row>
    <row r="10" spans="1:21" s="14" customFormat="1" ht="12.75" x14ac:dyDescent="0.2">
      <c r="A10" s="10"/>
      <c r="B10" s="10"/>
      <c r="C10" s="102" t="s">
        <v>6</v>
      </c>
      <c r="D10" s="103"/>
      <c r="E10" s="103"/>
      <c r="F10" s="103"/>
      <c r="G10" s="103"/>
      <c r="H10" s="103"/>
      <c r="I10" s="103"/>
      <c r="J10" s="11"/>
      <c r="K10" s="12"/>
      <c r="L10" s="102" t="s">
        <v>7</v>
      </c>
      <c r="M10" s="103"/>
      <c r="N10" s="103"/>
      <c r="O10" s="104"/>
      <c r="P10" s="13"/>
      <c r="Q10" s="102" t="s">
        <v>8</v>
      </c>
      <c r="R10" s="104"/>
    </row>
    <row r="11" spans="1:21" s="19" customFormat="1" ht="12" x14ac:dyDescent="0.2">
      <c r="A11" s="15"/>
      <c r="B11" s="15"/>
      <c r="C11" s="16"/>
      <c r="D11" s="17" t="s">
        <v>9</v>
      </c>
      <c r="E11" s="16"/>
      <c r="F11" s="16"/>
      <c r="G11" s="16"/>
      <c r="H11" s="18" t="s">
        <v>10</v>
      </c>
      <c r="I11" s="16"/>
      <c r="J11" s="16"/>
      <c r="K11" s="16"/>
      <c r="L11" s="17" t="s">
        <v>11</v>
      </c>
      <c r="M11" s="17"/>
      <c r="N11" s="17" t="s">
        <v>9</v>
      </c>
      <c r="O11" s="17" t="s">
        <v>11</v>
      </c>
      <c r="Q11" s="17" t="s">
        <v>11</v>
      </c>
      <c r="R11" s="17" t="s">
        <v>11</v>
      </c>
      <c r="T11" s="17" t="s">
        <v>11</v>
      </c>
    </row>
    <row r="12" spans="1:21" s="22" customFormat="1" ht="12" x14ac:dyDescent="0.2">
      <c r="A12" s="20"/>
      <c r="B12" s="20"/>
      <c r="C12" s="17" t="s">
        <v>12</v>
      </c>
      <c r="D12" s="21" t="s">
        <v>13</v>
      </c>
      <c r="E12" s="17" t="s">
        <v>12</v>
      </c>
      <c r="F12" s="17" t="s">
        <v>14</v>
      </c>
      <c r="G12" s="17"/>
      <c r="H12" s="18" t="s">
        <v>15</v>
      </c>
      <c r="I12" s="17" t="s">
        <v>16</v>
      </c>
      <c r="J12" s="17"/>
      <c r="K12" s="17"/>
      <c r="L12" s="22" t="s">
        <v>10</v>
      </c>
      <c r="M12" s="17" t="s">
        <v>17</v>
      </c>
      <c r="N12" s="17" t="s">
        <v>17</v>
      </c>
      <c r="O12" s="17" t="s">
        <v>17</v>
      </c>
      <c r="Q12" s="22" t="s">
        <v>10</v>
      </c>
      <c r="R12" s="17" t="s">
        <v>18</v>
      </c>
      <c r="T12" s="17" t="s">
        <v>11</v>
      </c>
    </row>
    <row r="13" spans="1:21" s="22" customFormat="1" ht="12" x14ac:dyDescent="0.2">
      <c r="A13" s="23" t="s">
        <v>19</v>
      </c>
      <c r="B13" s="23"/>
      <c r="C13" s="24" t="s">
        <v>20</v>
      </c>
      <c r="D13" s="24" t="s">
        <v>12</v>
      </c>
      <c r="E13" s="24" t="s">
        <v>21</v>
      </c>
      <c r="F13" s="24" t="s">
        <v>22</v>
      </c>
      <c r="G13" s="24"/>
      <c r="H13" s="25" t="s">
        <v>23</v>
      </c>
      <c r="I13" s="24" t="s">
        <v>24</v>
      </c>
      <c r="J13" s="21"/>
      <c r="K13" s="21"/>
      <c r="L13" s="24" t="s">
        <v>25</v>
      </c>
      <c r="M13" s="24" t="s">
        <v>26</v>
      </c>
      <c r="N13" s="24" t="s">
        <v>12</v>
      </c>
      <c r="O13" s="24" t="s">
        <v>22</v>
      </c>
      <c r="P13" s="26"/>
      <c r="Q13" s="24" t="s">
        <v>8</v>
      </c>
      <c r="R13" s="24" t="s">
        <v>22</v>
      </c>
      <c r="T13" s="24" t="s">
        <v>27</v>
      </c>
    </row>
    <row r="14" spans="1:21" x14ac:dyDescent="0.25">
      <c r="A14" s="5">
        <v>43191</v>
      </c>
      <c r="C14" s="27">
        <v>100287572.79000001</v>
      </c>
      <c r="D14" s="27">
        <v>2335540.16</v>
      </c>
      <c r="E14" s="27">
        <v>91632302.390000001</v>
      </c>
      <c r="F14" s="27">
        <v>6319730.2400000002</v>
      </c>
      <c r="G14" s="27"/>
      <c r="H14" s="28">
        <v>2151</v>
      </c>
      <c r="I14" s="27">
        <v>98</v>
      </c>
      <c r="J14" s="27"/>
      <c r="L14" s="30">
        <v>131</v>
      </c>
      <c r="M14" s="27">
        <v>34365447.5</v>
      </c>
      <c r="N14" s="27">
        <v>956450</v>
      </c>
      <c r="O14" s="27">
        <v>4090363</v>
      </c>
      <c r="Q14" s="31">
        <v>19</v>
      </c>
      <c r="R14" s="29">
        <v>417874</v>
      </c>
      <c r="T14" s="27">
        <f t="shared" ref="T14:T25" si="0">R14+O14+F14</f>
        <v>10827967.24</v>
      </c>
    </row>
    <row r="15" spans="1:21" x14ac:dyDescent="0.25">
      <c r="A15" s="5">
        <v>43221</v>
      </c>
      <c r="C15" s="27">
        <v>108040745.47</v>
      </c>
      <c r="D15" s="27">
        <v>2320325.75</v>
      </c>
      <c r="E15" s="27">
        <v>99135914.840000004</v>
      </c>
      <c r="F15" s="27">
        <v>6584504.8799999999</v>
      </c>
      <c r="G15" s="27"/>
      <c r="H15" s="28">
        <v>2154.38</v>
      </c>
      <c r="I15" s="27">
        <v>99</v>
      </c>
      <c r="J15" s="27"/>
      <c r="K15" s="32"/>
      <c r="L15" s="32">
        <v>135</v>
      </c>
      <c r="M15" s="27">
        <v>38103107</v>
      </c>
      <c r="N15" s="27">
        <v>1891560</v>
      </c>
      <c r="O15" s="27">
        <v>4729563.25</v>
      </c>
      <c r="P15" s="32"/>
      <c r="Q15" s="31">
        <v>19</v>
      </c>
      <c r="R15" s="29">
        <v>399386</v>
      </c>
      <c r="S15" s="32"/>
      <c r="T15" s="27">
        <f t="shared" si="0"/>
        <v>11713454.129999999</v>
      </c>
    </row>
    <row r="16" spans="1:21" x14ac:dyDescent="0.25">
      <c r="A16" s="5">
        <v>43252</v>
      </c>
      <c r="C16" s="27">
        <v>103626688.37</v>
      </c>
      <c r="D16" s="27">
        <v>2157429.14</v>
      </c>
      <c r="E16" s="27">
        <v>94639137.019999996</v>
      </c>
      <c r="F16" s="27">
        <v>6830122.21</v>
      </c>
      <c r="G16" s="27"/>
      <c r="H16" s="28">
        <v>2156</v>
      </c>
      <c r="I16" s="27">
        <v>106</v>
      </c>
      <c r="J16" s="27"/>
      <c r="K16" s="32"/>
      <c r="L16" s="32">
        <v>135</v>
      </c>
      <c r="M16" s="27">
        <v>40632569</v>
      </c>
      <c r="N16" s="27">
        <v>2116175</v>
      </c>
      <c r="O16" s="27">
        <v>5992063.5</v>
      </c>
      <c r="P16" s="32"/>
      <c r="Q16" s="31">
        <v>19</v>
      </c>
      <c r="R16" s="29">
        <v>405221</v>
      </c>
      <c r="S16" s="32"/>
      <c r="T16" s="27">
        <f t="shared" si="0"/>
        <v>13227406.710000001</v>
      </c>
    </row>
    <row r="17" spans="1:20" x14ac:dyDescent="0.25">
      <c r="A17" s="5">
        <v>43282</v>
      </c>
      <c r="C17" s="27">
        <v>120496107.03</v>
      </c>
      <c r="D17" s="27">
        <v>2561631.9700000002</v>
      </c>
      <c r="E17" s="27">
        <v>110532207.05</v>
      </c>
      <c r="F17" s="27">
        <v>7402268.0099999998</v>
      </c>
      <c r="G17" s="33"/>
      <c r="H17" s="28">
        <v>2156</v>
      </c>
      <c r="I17" s="27">
        <v>111</v>
      </c>
      <c r="J17" s="27"/>
      <c r="K17" s="33"/>
      <c r="L17" s="32">
        <v>135</v>
      </c>
      <c r="M17" s="27">
        <v>43354130</v>
      </c>
      <c r="N17" s="27">
        <v>2101406</v>
      </c>
      <c r="O17" s="27">
        <v>5201617.25</v>
      </c>
      <c r="P17" s="33"/>
      <c r="Q17" s="31">
        <v>19</v>
      </c>
      <c r="R17" s="29">
        <v>492130</v>
      </c>
      <c r="S17" s="33"/>
      <c r="T17" s="27">
        <f t="shared" si="0"/>
        <v>13096015.26</v>
      </c>
    </row>
    <row r="18" spans="1:20" x14ac:dyDescent="0.25">
      <c r="A18" s="5">
        <v>43313</v>
      </c>
      <c r="C18" s="27">
        <v>128979677.51000001</v>
      </c>
      <c r="D18" s="27">
        <v>2817963.03</v>
      </c>
      <c r="E18" s="27">
        <v>118224493.38</v>
      </c>
      <c r="F18" s="27">
        <v>7937221.0999999996</v>
      </c>
      <c r="G18" s="33"/>
      <c r="H18" s="28">
        <v>2156</v>
      </c>
      <c r="I18" s="27">
        <v>119</v>
      </c>
      <c r="J18" s="27"/>
      <c r="K18" s="33"/>
      <c r="L18" s="32">
        <v>135</v>
      </c>
      <c r="M18" s="27">
        <v>45119877.5</v>
      </c>
      <c r="N18" s="27">
        <v>2063100</v>
      </c>
      <c r="O18" s="27">
        <v>6593889</v>
      </c>
      <c r="P18" s="33"/>
      <c r="Q18" s="31">
        <v>19</v>
      </c>
      <c r="R18" s="29">
        <v>457823</v>
      </c>
      <c r="S18" s="33"/>
      <c r="T18" s="27">
        <f t="shared" si="0"/>
        <v>14988933.1</v>
      </c>
    </row>
    <row r="19" spans="1:20" x14ac:dyDescent="0.25">
      <c r="A19" s="5">
        <v>43344</v>
      </c>
      <c r="C19" s="27">
        <v>134116744.20999999</v>
      </c>
      <c r="D19" s="27">
        <v>2221093.61</v>
      </c>
      <c r="E19" s="27">
        <v>123248648.52</v>
      </c>
      <c r="F19" s="27">
        <v>8647002.0800000001</v>
      </c>
      <c r="G19" s="33"/>
      <c r="H19" s="28">
        <v>2156</v>
      </c>
      <c r="I19" s="27">
        <v>134</v>
      </c>
      <c r="J19" s="27"/>
      <c r="K19" s="33"/>
      <c r="L19" s="32">
        <v>135</v>
      </c>
      <c r="M19" s="27">
        <v>35540975</v>
      </c>
      <c r="N19" s="27">
        <v>1121500</v>
      </c>
      <c r="O19" s="27">
        <v>6977599.75</v>
      </c>
      <c r="P19" s="33"/>
      <c r="Q19" s="31">
        <v>19</v>
      </c>
      <c r="R19" s="29">
        <v>364971</v>
      </c>
      <c r="S19" s="33"/>
      <c r="T19" s="27">
        <f t="shared" si="0"/>
        <v>15989572.83</v>
      </c>
    </row>
    <row r="20" spans="1:20" x14ac:dyDescent="0.25">
      <c r="A20" s="5">
        <v>43374</v>
      </c>
      <c r="C20" s="27">
        <v>110317720.13</v>
      </c>
      <c r="D20" s="27">
        <v>1647050.24</v>
      </c>
      <c r="E20" s="27">
        <v>101880837.94</v>
      </c>
      <c r="F20" s="27">
        <v>6789831.9500000002</v>
      </c>
      <c r="G20" s="33"/>
      <c r="H20" s="28">
        <v>2156</v>
      </c>
      <c r="I20" s="27">
        <v>102</v>
      </c>
      <c r="J20" s="27"/>
      <c r="K20" s="33"/>
      <c r="L20" s="32">
        <v>139</v>
      </c>
      <c r="M20" s="27">
        <v>32004790</v>
      </c>
      <c r="N20" s="27">
        <v>1115210</v>
      </c>
      <c r="O20" s="27">
        <v>5188192.25</v>
      </c>
      <c r="P20" s="33"/>
      <c r="Q20" s="31">
        <v>19</v>
      </c>
      <c r="R20" s="29">
        <v>351937</v>
      </c>
      <c r="S20" s="33"/>
      <c r="T20" s="27">
        <f t="shared" si="0"/>
        <v>12329961.199999999</v>
      </c>
    </row>
    <row r="21" spans="1:20" x14ac:dyDescent="0.25">
      <c r="A21" s="5">
        <v>43405</v>
      </c>
      <c r="C21" s="27">
        <v>110789289.08</v>
      </c>
      <c r="D21" s="27">
        <v>1322154.44</v>
      </c>
      <c r="E21" s="27">
        <v>101559356.14</v>
      </c>
      <c r="F21" s="27">
        <v>7907778.5</v>
      </c>
      <c r="G21" s="33"/>
      <c r="H21" s="28">
        <v>2156</v>
      </c>
      <c r="I21" s="27">
        <v>122</v>
      </c>
      <c r="J21" s="27"/>
      <c r="K21" s="33"/>
      <c r="L21" s="32">
        <v>144</v>
      </c>
      <c r="M21" s="27">
        <v>31473382</v>
      </c>
      <c r="N21" s="27">
        <v>637150</v>
      </c>
      <c r="O21" s="27">
        <v>6239259.25</v>
      </c>
      <c r="P21" s="33"/>
      <c r="Q21" s="31">
        <v>19</v>
      </c>
      <c r="R21" s="29">
        <v>370905</v>
      </c>
      <c r="S21" s="33"/>
      <c r="T21" s="27">
        <f t="shared" si="0"/>
        <v>14517942.75</v>
      </c>
    </row>
    <row r="22" spans="1:20" x14ac:dyDescent="0.25">
      <c r="A22" s="5">
        <v>43435</v>
      </c>
      <c r="C22" s="27">
        <v>118073842.06</v>
      </c>
      <c r="D22" s="27">
        <v>1699325.5</v>
      </c>
      <c r="E22" s="27">
        <v>106939928.64</v>
      </c>
      <c r="F22" s="27">
        <v>9434587.9199999999</v>
      </c>
      <c r="G22" s="33"/>
      <c r="H22" s="28">
        <v>2156</v>
      </c>
      <c r="I22" s="27">
        <v>141</v>
      </c>
      <c r="J22" s="27"/>
      <c r="K22" s="33"/>
      <c r="L22" s="32">
        <v>144</v>
      </c>
      <c r="M22" s="27">
        <v>33655360.5</v>
      </c>
      <c r="N22" s="27">
        <v>943550</v>
      </c>
      <c r="O22" s="27">
        <v>2610346.75</v>
      </c>
      <c r="P22" s="32"/>
      <c r="Q22" s="31">
        <v>19</v>
      </c>
      <c r="R22" s="29">
        <v>414379</v>
      </c>
      <c r="S22" s="32"/>
      <c r="T22" s="27">
        <f t="shared" si="0"/>
        <v>12459313.67</v>
      </c>
    </row>
    <row r="23" spans="1:20" x14ac:dyDescent="0.25">
      <c r="A23" s="5">
        <v>43466</v>
      </c>
      <c r="C23" s="27">
        <v>105531676.87</v>
      </c>
      <c r="D23" s="27">
        <v>2192484.5699999998</v>
      </c>
      <c r="E23" s="27">
        <v>95720778.25</v>
      </c>
      <c r="F23" s="27">
        <v>7618414.0499999998</v>
      </c>
      <c r="G23" s="33"/>
      <c r="H23" s="28">
        <v>2156</v>
      </c>
      <c r="I23" s="27">
        <v>114</v>
      </c>
      <c r="J23" s="27"/>
      <c r="K23" s="33"/>
      <c r="L23" s="32">
        <v>144</v>
      </c>
      <c r="M23" s="27">
        <v>33057064</v>
      </c>
      <c r="N23" s="27">
        <v>906705</v>
      </c>
      <c r="O23" s="27">
        <v>5102678.5</v>
      </c>
      <c r="P23" s="32"/>
      <c r="Q23" s="31">
        <v>19</v>
      </c>
      <c r="R23" s="29">
        <v>350519</v>
      </c>
      <c r="S23" s="32"/>
      <c r="T23" s="27">
        <f t="shared" si="0"/>
        <v>13071611.550000001</v>
      </c>
    </row>
    <row r="24" spans="1:20" x14ac:dyDescent="0.25">
      <c r="A24" s="5">
        <v>43497</v>
      </c>
      <c r="C24" s="27">
        <v>121928993.06</v>
      </c>
      <c r="D24" s="27">
        <v>2384212.23</v>
      </c>
      <c r="E24" s="27">
        <v>110934013.03</v>
      </c>
      <c r="F24" s="27">
        <v>8610767.8000000007</v>
      </c>
      <c r="G24" s="33"/>
      <c r="H24" s="28">
        <v>2031</v>
      </c>
      <c r="I24" s="27">
        <v>151</v>
      </c>
      <c r="J24" s="27"/>
      <c r="K24" s="33"/>
      <c r="L24" s="32">
        <v>134</v>
      </c>
      <c r="M24" s="27">
        <v>35215000</v>
      </c>
      <c r="N24" s="27">
        <v>1130425</v>
      </c>
      <c r="O24" s="27">
        <v>5278400</v>
      </c>
      <c r="P24" s="33"/>
      <c r="Q24" s="31">
        <v>19</v>
      </c>
      <c r="R24" s="29">
        <v>369376</v>
      </c>
      <c r="S24" s="33"/>
      <c r="T24" s="27">
        <f t="shared" si="0"/>
        <v>14258543.800000001</v>
      </c>
    </row>
    <row r="25" spans="1:20" x14ac:dyDescent="0.25">
      <c r="A25" s="5">
        <v>43525</v>
      </c>
      <c r="C25" s="27">
        <v>149152021.75999999</v>
      </c>
      <c r="D25" s="27">
        <v>2875382.46</v>
      </c>
      <c r="E25" s="27">
        <v>135455245.69</v>
      </c>
      <c r="F25" s="27">
        <v>10821393.609999999</v>
      </c>
      <c r="G25" s="33"/>
      <c r="H25" s="28">
        <v>2016</v>
      </c>
      <c r="I25" s="27">
        <v>173</v>
      </c>
      <c r="J25" s="27"/>
      <c r="K25" s="33"/>
      <c r="L25" s="32">
        <v>133</v>
      </c>
      <c r="M25" s="27">
        <v>41202315</v>
      </c>
      <c r="N25" s="27">
        <v>1235015</v>
      </c>
      <c r="O25" s="27">
        <v>6855501.5</v>
      </c>
      <c r="P25" s="33"/>
      <c r="Q25" s="31">
        <v>19</v>
      </c>
      <c r="R25" s="29">
        <v>434037</v>
      </c>
      <c r="S25" s="33"/>
      <c r="T25" s="27">
        <f t="shared" si="0"/>
        <v>18110932.109999999</v>
      </c>
    </row>
    <row r="26" spans="1:20" ht="15.75" thickBot="1" x14ac:dyDescent="0.3">
      <c r="A26" s="5" t="s">
        <v>28</v>
      </c>
      <c r="C26" s="34">
        <f>SUM(C14:C25)</f>
        <v>1411341078.3399999</v>
      </c>
      <c r="D26" s="34">
        <f t="shared" ref="D26:E26" si="1">SUM(D14:D25)</f>
        <v>26534593.100000001</v>
      </c>
      <c r="E26" s="34">
        <f t="shared" si="1"/>
        <v>1289902862.8900001</v>
      </c>
      <c r="F26" s="34">
        <f>SUM(F14:F25)</f>
        <v>94903622.349999994</v>
      </c>
      <c r="G26" s="34"/>
      <c r="H26" s="35">
        <v>2134</v>
      </c>
      <c r="I26" s="34">
        <v>122</v>
      </c>
      <c r="J26" s="36"/>
      <c r="K26" s="27"/>
      <c r="L26" s="37">
        <v>137</v>
      </c>
      <c r="M26" s="34">
        <f>SUM(M14:M25)</f>
        <v>443724017.5</v>
      </c>
      <c r="N26" s="34">
        <f>SUM(N14:N25)</f>
        <v>16218246</v>
      </c>
      <c r="O26" s="34">
        <f>SUM(O14:O25)</f>
        <v>64859474</v>
      </c>
      <c r="P26" s="36"/>
      <c r="Q26" s="82">
        <v>19</v>
      </c>
      <c r="R26" s="34">
        <f>SUM(R14:R25)</f>
        <v>4828558</v>
      </c>
      <c r="S26" s="36"/>
      <c r="T26" s="34">
        <f>SUM(T14:T25)</f>
        <v>164591654.35000002</v>
      </c>
    </row>
    <row r="27" spans="1:20" ht="10.5" customHeight="1" thickTop="1" x14ac:dyDescent="0.25">
      <c r="C27" s="39"/>
      <c r="D27" s="39"/>
      <c r="E27" s="39"/>
      <c r="F27" s="39"/>
      <c r="G27" s="39"/>
      <c r="H27" s="39"/>
      <c r="L27" s="40"/>
      <c r="M27" s="39"/>
      <c r="N27" s="39"/>
      <c r="O27" s="39"/>
      <c r="P27" s="39"/>
      <c r="Q27" s="40"/>
      <c r="R27" s="39"/>
    </row>
    <row r="28" spans="1:20" s="44" customFormat="1" x14ac:dyDescent="0.25">
      <c r="A28" s="41"/>
      <c r="B28" s="41"/>
      <c r="C28" s="42"/>
      <c r="D28" s="43">
        <f>D26/$C$26</f>
        <v>1.8800978379520866E-2</v>
      </c>
      <c r="E28" s="43">
        <f>E26/$C$26</f>
        <v>0.91395544470877743</v>
      </c>
      <c r="F28" s="43">
        <f>F26/$C$26</f>
        <v>6.7243576911701838E-2</v>
      </c>
      <c r="G28" s="43"/>
      <c r="H28" s="42"/>
      <c r="L28" s="42"/>
      <c r="M28" s="42"/>
      <c r="N28" s="42"/>
      <c r="O28" s="42">
        <f>O26/$M$26</f>
        <v>0.14617075353600845</v>
      </c>
      <c r="P28" s="42"/>
      <c r="Q28" s="42"/>
      <c r="R28" s="42"/>
    </row>
    <row r="29" spans="1:20" s="44" customFormat="1" x14ac:dyDescent="0.25">
      <c r="A29" s="41"/>
      <c r="B29" s="41"/>
      <c r="C29" s="42"/>
      <c r="D29" s="42"/>
      <c r="E29" s="42"/>
      <c r="F29" s="42"/>
      <c r="G29" s="42"/>
      <c r="H29" s="42"/>
      <c r="L29" s="42"/>
      <c r="M29" s="42"/>
      <c r="N29" s="42"/>
      <c r="O29" s="42"/>
      <c r="P29" s="42"/>
      <c r="Q29" s="42"/>
      <c r="R29" s="42"/>
    </row>
    <row r="30" spans="1:20" s="44" customFormat="1" x14ac:dyDescent="0.25">
      <c r="A30" s="93" t="s">
        <v>29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5"/>
    </row>
    <row r="31" spans="1:20" s="46" customForma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20" s="46" customFormat="1" x14ac:dyDescent="0.25">
      <c r="A32" s="45"/>
      <c r="B32" s="45"/>
      <c r="C32" s="45"/>
      <c r="D32" s="45"/>
      <c r="E32" s="45"/>
      <c r="F32" s="45"/>
      <c r="G32" s="45"/>
      <c r="H32" s="107" t="s">
        <v>30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47"/>
      <c r="T32" s="45"/>
    </row>
    <row r="33" spans="1:20" s="48" customFormat="1" ht="12" x14ac:dyDescent="0.2">
      <c r="F33" s="48" t="s">
        <v>31</v>
      </c>
      <c r="H33" s="49" t="s">
        <v>32</v>
      </c>
      <c r="I33" s="49" t="s">
        <v>33</v>
      </c>
      <c r="J33" s="49" t="s">
        <v>34</v>
      </c>
      <c r="K33" s="50"/>
      <c r="L33" s="50"/>
      <c r="M33" s="51"/>
      <c r="N33" s="51"/>
      <c r="O33" s="51"/>
      <c r="P33" s="51"/>
      <c r="Q33" s="51"/>
      <c r="R33" s="52"/>
    </row>
    <row r="34" spans="1:20" s="48" customFormat="1" ht="12.75" customHeight="1" x14ac:dyDescent="0.2">
      <c r="C34" s="17" t="s">
        <v>35</v>
      </c>
      <c r="D34" s="48" t="s">
        <v>11</v>
      </c>
      <c r="E34" s="48" t="s">
        <v>36</v>
      </c>
      <c r="F34" s="48" t="s">
        <v>37</v>
      </c>
      <c r="H34" s="49" t="s">
        <v>38</v>
      </c>
      <c r="I34" s="49" t="s">
        <v>39</v>
      </c>
      <c r="J34" s="49" t="s">
        <v>40</v>
      </c>
      <c r="K34" s="50"/>
      <c r="L34" s="101" t="s">
        <v>41</v>
      </c>
      <c r="M34" s="101"/>
      <c r="N34" s="101"/>
      <c r="O34" s="101"/>
      <c r="P34" s="101"/>
      <c r="Q34" s="101"/>
      <c r="R34" s="101"/>
      <c r="S34" s="51"/>
      <c r="T34" s="51"/>
    </row>
    <row r="35" spans="1:20" s="48" customFormat="1" ht="12" x14ac:dyDescent="0.2">
      <c r="C35" s="24" t="s">
        <v>42</v>
      </c>
      <c r="D35" s="53" t="s">
        <v>43</v>
      </c>
      <c r="E35" s="53" t="s">
        <v>44</v>
      </c>
      <c r="F35" s="53" t="s">
        <v>45</v>
      </c>
      <c r="G35" s="52"/>
      <c r="H35" s="54" t="s">
        <v>46</v>
      </c>
      <c r="I35" s="54" t="s">
        <v>47</v>
      </c>
      <c r="J35" s="54" t="s">
        <v>48</v>
      </c>
      <c r="K35" s="81"/>
      <c r="L35" s="81" t="s">
        <v>49</v>
      </c>
      <c r="M35" s="81" t="s">
        <v>50</v>
      </c>
      <c r="N35" s="81" t="s">
        <v>51</v>
      </c>
      <c r="O35" s="81" t="s">
        <v>52</v>
      </c>
      <c r="P35" s="56"/>
      <c r="Q35" s="81" t="s">
        <v>53</v>
      </c>
      <c r="R35" s="57" t="s">
        <v>54</v>
      </c>
      <c r="S35" s="52"/>
    </row>
    <row r="36" spans="1:20" s="44" customFormat="1" x14ac:dyDescent="0.25">
      <c r="A36" s="5">
        <v>43191</v>
      </c>
      <c r="B36" s="41"/>
      <c r="C36" s="36">
        <f>(F14*0.61)+(O14+R14)*0.9</f>
        <v>7912448.7464000005</v>
      </c>
      <c r="D36" s="36">
        <f>(F14*0.39)+(O14+R14)*0.1</f>
        <v>2915518.4936000002</v>
      </c>
      <c r="E36" s="27">
        <v>0</v>
      </c>
      <c r="F36" s="27">
        <v>60000</v>
      </c>
      <c r="H36" s="27">
        <f>F14*0.39*0.8+(O14+R14)*0.1*0.8+((E36+F36)*0.8)</f>
        <v>2380414.7948799999</v>
      </c>
      <c r="I36" s="36">
        <f>(F14*0.39*0.05+(O14+R14)*0.1*0.05+((E36+F36)*0.05))</f>
        <v>148775.92468</v>
      </c>
      <c r="J36" s="36">
        <f>F14*0.39*0.05+(O14+R14)*0.1*0.05+(E36+F36)*0.05</f>
        <v>148775.92468</v>
      </c>
      <c r="K36" s="27"/>
      <c r="L36" s="36">
        <f>(F14*0.39*0.1+(O14+R14)*0.1*0.1)*63096/1013091+((E36+F36)*0.1*63096/1013091)</f>
        <v>18531.732576065289</v>
      </c>
      <c r="M36" s="36">
        <f>(F14*0.39*0.1+(O14+R14)*0.1*0.1)*47980/1013091+((E36+F36)*0.1*47980/1013091)</f>
        <v>14092.058593248581</v>
      </c>
      <c r="N36" s="36">
        <f>(F14*0.39*0.1+(O14+R14)*0.1*0.1)*297488/1013091+((E36+F36)*0.1*297488/1013091)</f>
        <v>87374.287761324202</v>
      </c>
      <c r="O36" s="36">
        <f>(F14*0.39*0.1+(O14+R14)*0.1*0.1)*49221/1013091+((E36+F36)*0.1*49221/1013091)</f>
        <v>14456.54889575424</v>
      </c>
      <c r="P36" s="58"/>
      <c r="Q36" s="36">
        <f>(F14*0.39*0.1+(O14+R14)*0.1*0.1)*372813/1013091+((E36+F36)*0.1*372813/1013091)</f>
        <v>109497.76240776957</v>
      </c>
      <c r="R36" s="36">
        <f>(F14*0.39*0.1+(O14+R14)*0.1*0.1)*182493/1013091+((E36+F36)*0.1*182493/1013091)</f>
        <v>53599.459125838133</v>
      </c>
      <c r="S36" s="27"/>
    </row>
    <row r="37" spans="1:20" s="44" customFormat="1" x14ac:dyDescent="0.25">
      <c r="A37" s="5">
        <v>43221</v>
      </c>
      <c r="B37" s="41"/>
      <c r="C37" s="36">
        <f t="shared" ref="C37:C47" si="2">(F15*0.61)+(O15+R15)*0.9</f>
        <v>8632602.3017999995</v>
      </c>
      <c r="D37" s="36">
        <f t="shared" ref="D37:D47" si="3">(F15*0.39)+(O15+R15)*0.1</f>
        <v>3080851.8282000003</v>
      </c>
      <c r="E37" s="27">
        <v>0</v>
      </c>
      <c r="F37" s="27">
        <v>0</v>
      </c>
      <c r="H37" s="27">
        <f t="shared" ref="H37:H47" si="4">F15*0.39*0.8+(O15+R15)*0.1*0.8+((E37+F37)*0.8)</f>
        <v>2464681.4625600004</v>
      </c>
      <c r="I37" s="36">
        <f t="shared" ref="I37:I47" si="5">(F15*0.39*0.05+(O15+R15)*0.1*0.05+((E37+F37)*0.05))</f>
        <v>154042.59141000002</v>
      </c>
      <c r="J37" s="36">
        <f t="shared" ref="J37:J47" si="6">F15*0.39*0.05+(O15+R15)*0.1*0.05+(E37+F37)*0.05</f>
        <v>154042.59141000002</v>
      </c>
      <c r="K37" s="27"/>
      <c r="L37" s="36">
        <f t="shared" ref="L37:L47" si="7">(F15*0.39*0.1+(O15+R15)*0.1*0.1)*63096/1013091+((E37+F37)*0.1*63096/1013091)</f>
        <v>19187.755784239249</v>
      </c>
      <c r="M37" s="36">
        <f t="shared" ref="M37:M47" si="8">(F15*0.39*0.1+(O15+R15)*0.1*0.1)*47980/1013091+((E37+F37)*0.1*47980/1013091)</f>
        <v>14590.917372381753</v>
      </c>
      <c r="N37" s="36">
        <f t="shared" ref="N37:N47" si="9">(F15*0.39*0.1+(O15+R15)*0.1*0.1)*297488/1013091+((E37+F37)*0.1*297488/1013091)</f>
        <v>90467.336958630738</v>
      </c>
      <c r="O37" s="36">
        <f t="shared" ref="O37:O47" si="10">(F15*0.39*0.1+(O15+R15)*0.1*0.1)*49221/1013091+((E37+F37)*0.1*49221/1013091)</f>
        <v>14968.310629137186</v>
      </c>
      <c r="P37" s="36"/>
      <c r="Q37" s="36">
        <f t="shared" ref="Q37:Q47" si="11">(F15*0.39*0.1+(O15+R15)*0.1*0.1)*372813/1013091+((E37+F37)*0.1*372813/1013091)</f>
        <v>113373.98245831093</v>
      </c>
      <c r="R37" s="36">
        <f t="shared" ref="R37:R47" si="12">(F15*0.39*0.1+(O15+R15)*0.1*0.1)*182493/1013091+((E37+F37)*0.1*182493/1013091)</f>
        <v>55496.87961730019</v>
      </c>
      <c r="S37" s="27"/>
    </row>
    <row r="38" spans="1:20" s="44" customFormat="1" x14ac:dyDescent="0.25">
      <c r="A38" s="5">
        <v>43252</v>
      </c>
      <c r="B38" s="41"/>
      <c r="C38" s="36">
        <f t="shared" si="2"/>
        <v>9923930.5980999991</v>
      </c>
      <c r="D38" s="36">
        <f t="shared" si="3"/>
        <v>3303476.1119000004</v>
      </c>
      <c r="E38" s="27">
        <v>0</v>
      </c>
      <c r="F38" s="27">
        <v>25000</v>
      </c>
      <c r="H38" s="27">
        <f t="shared" si="4"/>
        <v>2662780.8895200007</v>
      </c>
      <c r="I38" s="36">
        <f t="shared" si="5"/>
        <v>166423.80559500004</v>
      </c>
      <c r="J38" s="36">
        <f t="shared" si="6"/>
        <v>166423.80559500004</v>
      </c>
      <c r="K38" s="27"/>
      <c r="L38" s="36">
        <f t="shared" si="7"/>
        <v>20729.976750009864</v>
      </c>
      <c r="M38" s="36">
        <f t="shared" si="8"/>
        <v>15763.666230275665</v>
      </c>
      <c r="N38" s="36">
        <f t="shared" si="9"/>
        <v>97738.673186999731</v>
      </c>
      <c r="O38" s="36">
        <f t="shared" si="10"/>
        <v>16171.392570245906</v>
      </c>
      <c r="P38" s="36"/>
      <c r="Q38" s="36">
        <f t="shared" si="11"/>
        <v>122486.44640074534</v>
      </c>
      <c r="R38" s="36">
        <f t="shared" si="12"/>
        <v>59957.456051723566</v>
      </c>
      <c r="S38" s="27"/>
    </row>
    <row r="39" spans="1:20" s="44" customFormat="1" x14ac:dyDescent="0.25">
      <c r="A39" s="5">
        <v>43282</v>
      </c>
      <c r="B39" s="41"/>
      <c r="C39" s="36">
        <f t="shared" si="2"/>
        <v>9639756.0110999998</v>
      </c>
      <c r="D39" s="36">
        <f t="shared" si="3"/>
        <v>3456259.2489</v>
      </c>
      <c r="E39" s="27">
        <v>0</v>
      </c>
      <c r="F39" s="27">
        <v>0</v>
      </c>
      <c r="H39" s="27">
        <f t="shared" si="4"/>
        <v>2765007.3991200002</v>
      </c>
      <c r="I39" s="36">
        <f t="shared" si="5"/>
        <v>172812.96244500001</v>
      </c>
      <c r="J39" s="36">
        <f t="shared" si="6"/>
        <v>172812.96244500001</v>
      </c>
      <c r="K39" s="27"/>
      <c r="L39" s="36">
        <f t="shared" si="7"/>
        <v>21525.818862135227</v>
      </c>
      <c r="M39" s="36">
        <f t="shared" si="8"/>
        <v>16368.847296266773</v>
      </c>
      <c r="N39" s="36">
        <f t="shared" si="9"/>
        <v>101490.94715447706</v>
      </c>
      <c r="O39" s="36">
        <f t="shared" si="10"/>
        <v>16792.226610453246</v>
      </c>
      <c r="P39" s="36"/>
      <c r="Q39" s="36">
        <f t="shared" si="11"/>
        <v>127188.80923432898</v>
      </c>
      <c r="R39" s="36">
        <f t="shared" si="12"/>
        <v>62259.275732338727</v>
      </c>
      <c r="S39" s="27"/>
      <c r="T39" s="59"/>
    </row>
    <row r="40" spans="1:20" s="44" customFormat="1" x14ac:dyDescent="0.25">
      <c r="A40" s="5">
        <v>43313</v>
      </c>
      <c r="B40" s="41"/>
      <c r="C40" s="36">
        <f t="shared" si="2"/>
        <v>11188245.671</v>
      </c>
      <c r="D40" s="36">
        <f t="shared" si="3"/>
        <v>3800687.429</v>
      </c>
      <c r="E40" s="27">
        <v>0</v>
      </c>
      <c r="F40" s="27">
        <v>25000</v>
      </c>
      <c r="H40" s="27">
        <f t="shared" si="4"/>
        <v>3060549.9432000001</v>
      </c>
      <c r="I40" s="36">
        <f t="shared" si="5"/>
        <v>191284.37145000001</v>
      </c>
      <c r="J40" s="36">
        <f t="shared" si="6"/>
        <v>191284.37145000001</v>
      </c>
      <c r="K40" s="27"/>
      <c r="L40" s="36">
        <f t="shared" si="7"/>
        <v>23826.642820850644</v>
      </c>
      <c r="M40" s="36">
        <f t="shared" si="8"/>
        <v>18118.459530626569</v>
      </c>
      <c r="N40" s="36">
        <f t="shared" si="9"/>
        <v>112338.98059289364</v>
      </c>
      <c r="O40" s="36">
        <f t="shared" si="10"/>
        <v>18587.092466798047</v>
      </c>
      <c r="P40" s="36"/>
      <c r="Q40" s="36">
        <f t="shared" si="11"/>
        <v>140783.60260507467</v>
      </c>
      <c r="R40" s="36">
        <f t="shared" si="12"/>
        <v>68913.964883756445</v>
      </c>
      <c r="S40" s="27"/>
      <c r="T40" s="31"/>
    </row>
    <row r="41" spans="1:20" s="44" customFormat="1" x14ac:dyDescent="0.25">
      <c r="A41" s="5">
        <v>43344</v>
      </c>
      <c r="B41" s="41"/>
      <c r="C41" s="36">
        <f t="shared" si="2"/>
        <v>11882984.943799999</v>
      </c>
      <c r="D41" s="36">
        <f t="shared" si="3"/>
        <v>4106587.8862000005</v>
      </c>
      <c r="E41" s="27">
        <v>0</v>
      </c>
      <c r="F41" s="27">
        <v>-4976.58</v>
      </c>
      <c r="H41" s="27">
        <f t="shared" si="4"/>
        <v>3281289.0449600006</v>
      </c>
      <c r="I41" s="36">
        <f t="shared" si="5"/>
        <v>205080.56531000003</v>
      </c>
      <c r="J41" s="36">
        <f t="shared" si="6"/>
        <v>205080.56531000003</v>
      </c>
      <c r="K41" s="27"/>
      <c r="L41" s="36">
        <f t="shared" si="7"/>
        <v>25545.115589418445</v>
      </c>
      <c r="M41" s="36">
        <f t="shared" si="8"/>
        <v>19425.235291940804</v>
      </c>
      <c r="N41" s="36">
        <f t="shared" si="9"/>
        <v>120441.31714316145</v>
      </c>
      <c r="O41" s="36">
        <f t="shared" si="10"/>
        <v>19927.667909641899</v>
      </c>
      <c r="P41" s="36"/>
      <c r="Q41" s="36">
        <f t="shared" si="11"/>
        <v>150937.47905156997</v>
      </c>
      <c r="R41" s="36">
        <f t="shared" si="12"/>
        <v>73884.315634267477</v>
      </c>
      <c r="S41" s="27"/>
    </row>
    <row r="42" spans="1:20" s="44" customFormat="1" x14ac:dyDescent="0.25">
      <c r="A42" s="5">
        <v>43374</v>
      </c>
      <c r="B42" s="41"/>
      <c r="C42" s="36">
        <f t="shared" si="2"/>
        <v>9127913.8145000003</v>
      </c>
      <c r="D42" s="36">
        <f t="shared" si="3"/>
        <v>3202047.3854999999</v>
      </c>
      <c r="E42" s="27">
        <v>0</v>
      </c>
      <c r="F42" s="27">
        <v>0</v>
      </c>
      <c r="H42" s="27">
        <f t="shared" si="4"/>
        <v>2561637.9084000001</v>
      </c>
      <c r="I42" s="36">
        <f t="shared" si="5"/>
        <v>160102.369275</v>
      </c>
      <c r="J42" s="36">
        <f t="shared" si="6"/>
        <v>160102.369275</v>
      </c>
      <c r="K42" s="27"/>
      <c r="L42" s="36">
        <f t="shared" si="7"/>
        <v>19942.569999684925</v>
      </c>
      <c r="M42" s="36">
        <f t="shared" si="8"/>
        <v>15164.899654255145</v>
      </c>
      <c r="N42" s="36">
        <f t="shared" si="9"/>
        <v>94026.170661630997</v>
      </c>
      <c r="O42" s="36">
        <f t="shared" si="10"/>
        <v>15557.138930431274</v>
      </c>
      <c r="P42" s="36"/>
      <c r="Q42" s="36">
        <f t="shared" si="11"/>
        <v>117833.92527723685</v>
      </c>
      <c r="R42" s="36">
        <f t="shared" si="12"/>
        <v>57680.034026760826</v>
      </c>
      <c r="S42" s="27"/>
    </row>
    <row r="43" spans="1:20" s="44" customFormat="1" x14ac:dyDescent="0.25">
      <c r="A43" s="5">
        <v>43405</v>
      </c>
      <c r="B43" s="41"/>
      <c r="C43" s="36">
        <f t="shared" si="2"/>
        <v>10772892.710000001</v>
      </c>
      <c r="D43" s="36">
        <f t="shared" si="3"/>
        <v>3745050.04</v>
      </c>
      <c r="E43" s="27">
        <v>0</v>
      </c>
      <c r="F43" s="27">
        <v>0</v>
      </c>
      <c r="H43" s="27">
        <f t="shared" si="4"/>
        <v>2996040.0320000006</v>
      </c>
      <c r="I43" s="36">
        <f t="shared" si="5"/>
        <v>187252.50200000004</v>
      </c>
      <c r="J43" s="36">
        <f t="shared" si="6"/>
        <v>187252.50200000004</v>
      </c>
      <c r="K43" s="27"/>
      <c r="L43" s="36">
        <f t="shared" si="7"/>
        <v>23324.427650017627</v>
      </c>
      <c r="M43" s="36">
        <f t="shared" si="8"/>
        <v>17736.560774816873</v>
      </c>
      <c r="N43" s="36">
        <f t="shared" si="9"/>
        <v>109971.11279238689</v>
      </c>
      <c r="O43" s="36">
        <f t="shared" si="10"/>
        <v>18195.315921160094</v>
      </c>
      <c r="P43" s="36"/>
      <c r="Q43" s="36">
        <f t="shared" si="11"/>
        <v>137816.18241229269</v>
      </c>
      <c r="R43" s="36">
        <f t="shared" si="12"/>
        <v>67461.404449325884</v>
      </c>
      <c r="S43" s="27"/>
    </row>
    <row r="44" spans="1:20" s="44" customFormat="1" x14ac:dyDescent="0.25">
      <c r="A44" s="5">
        <v>43435</v>
      </c>
      <c r="B44" s="41"/>
      <c r="C44" s="36">
        <f t="shared" si="2"/>
        <v>8477351.8061999995</v>
      </c>
      <c r="D44" s="36">
        <f t="shared" si="3"/>
        <v>3981961.8638000004</v>
      </c>
      <c r="E44" s="27">
        <v>0</v>
      </c>
      <c r="F44" s="27">
        <v>1205.5999999999999</v>
      </c>
      <c r="H44" s="27">
        <f t="shared" si="4"/>
        <v>3186533.9710400002</v>
      </c>
      <c r="I44" s="36">
        <f t="shared" si="5"/>
        <v>199158.37319000001</v>
      </c>
      <c r="J44" s="36">
        <f t="shared" si="6"/>
        <v>199158.37319000001</v>
      </c>
      <c r="K44" s="27"/>
      <c r="L44" s="36">
        <f t="shared" si="7"/>
        <v>24807.439242469318</v>
      </c>
      <c r="M44" s="36">
        <f t="shared" si="8"/>
        <v>18864.285134615155</v>
      </c>
      <c r="N44" s="36">
        <f t="shared" si="9"/>
        <v>116963.28587174641</v>
      </c>
      <c r="O44" s="36">
        <f t="shared" si="10"/>
        <v>19352.20880806362</v>
      </c>
      <c r="P44" s="36"/>
      <c r="Q44" s="36">
        <f t="shared" si="11"/>
        <v>146578.79812195248</v>
      </c>
      <c r="R44" s="36">
        <f t="shared" si="12"/>
        <v>71750.729201153052</v>
      </c>
      <c r="S44" s="33"/>
    </row>
    <row r="45" spans="1:20" s="44" customFormat="1" x14ac:dyDescent="0.25">
      <c r="A45" s="5">
        <v>43466</v>
      </c>
      <c r="B45" s="41"/>
      <c r="C45" s="36">
        <f t="shared" si="2"/>
        <v>9555110.3204999994</v>
      </c>
      <c r="D45" s="36">
        <f t="shared" si="3"/>
        <v>3516501.2294999999</v>
      </c>
      <c r="E45" s="27">
        <v>0</v>
      </c>
      <c r="F45" s="27">
        <v>0</v>
      </c>
      <c r="H45" s="27">
        <f t="shared" si="4"/>
        <v>2813200.9835999999</v>
      </c>
      <c r="I45" s="36">
        <f t="shared" si="5"/>
        <v>175825.06147499999</v>
      </c>
      <c r="J45" s="36">
        <f t="shared" si="6"/>
        <v>175825.06147499999</v>
      </c>
      <c r="K45" s="27"/>
      <c r="L45" s="36">
        <f t="shared" si="7"/>
        <v>21901.010035281332</v>
      </c>
      <c r="M45" s="36">
        <f t="shared" si="8"/>
        <v>16654.153377279039</v>
      </c>
      <c r="N45" s="36">
        <f t="shared" si="9"/>
        <v>103259.91621300514</v>
      </c>
      <c r="O45" s="36">
        <f t="shared" si="10"/>
        <v>17084.912117195741</v>
      </c>
      <c r="P45" s="36"/>
      <c r="Q45" s="36">
        <f t="shared" si="11"/>
        <v>129405.68743317071</v>
      </c>
      <c r="R45" s="36">
        <f t="shared" si="12"/>
        <v>63344.44377406803</v>
      </c>
      <c r="S45" s="33"/>
    </row>
    <row r="46" spans="1:20" s="44" customFormat="1" x14ac:dyDescent="0.25">
      <c r="A46" s="5">
        <v>43497</v>
      </c>
      <c r="B46" s="41"/>
      <c r="C46" s="36">
        <f t="shared" si="2"/>
        <v>10335566.758000001</v>
      </c>
      <c r="D46" s="36">
        <f t="shared" si="3"/>
        <v>3922977.0420000004</v>
      </c>
      <c r="E46" s="27">
        <v>31578.880000000001</v>
      </c>
      <c r="F46" s="27">
        <v>0</v>
      </c>
      <c r="H46" s="27">
        <f t="shared" si="4"/>
        <v>3163644.7376000001</v>
      </c>
      <c r="I46" s="36">
        <f t="shared" si="5"/>
        <v>197727.79610000001</v>
      </c>
      <c r="J46" s="36">
        <f t="shared" si="6"/>
        <v>197727.79610000001</v>
      </c>
      <c r="K46" s="27"/>
      <c r="L46" s="36">
        <f t="shared" si="7"/>
        <v>24629.24460433584</v>
      </c>
      <c r="M46" s="36">
        <f t="shared" si="8"/>
        <v>18728.780843730725</v>
      </c>
      <c r="N46" s="36">
        <f t="shared" si="9"/>
        <v>116123.12537806929</v>
      </c>
      <c r="O46" s="36">
        <f t="shared" si="10"/>
        <v>19213.199706320756</v>
      </c>
      <c r="P46" s="36"/>
      <c r="Q46" s="36">
        <f t="shared" si="11"/>
        <v>145525.90605864488</v>
      </c>
      <c r="R46" s="36">
        <f t="shared" si="12"/>
        <v>71235.335608898502</v>
      </c>
      <c r="S46" s="33"/>
    </row>
    <row r="47" spans="1:20" s="44" customFormat="1" x14ac:dyDescent="0.25">
      <c r="A47" s="5">
        <v>43525</v>
      </c>
      <c r="B47" s="41"/>
      <c r="C47" s="36">
        <f t="shared" si="2"/>
        <v>13161634.7521</v>
      </c>
      <c r="D47" s="36">
        <f t="shared" si="3"/>
        <v>4949297.3578999992</v>
      </c>
      <c r="E47" s="27">
        <v>24772.62</v>
      </c>
      <c r="F47" s="27">
        <v>0</v>
      </c>
      <c r="H47" s="27">
        <f t="shared" si="4"/>
        <v>3979255.98232</v>
      </c>
      <c r="I47" s="36">
        <f t="shared" si="5"/>
        <v>248703.498895</v>
      </c>
      <c r="J47" s="36">
        <f t="shared" si="6"/>
        <v>248703.498895</v>
      </c>
      <c r="K47" s="27"/>
      <c r="L47" s="36">
        <f t="shared" si="7"/>
        <v>30978.847835542751</v>
      </c>
      <c r="M47" s="36">
        <f t="shared" si="8"/>
        <v>23557.200442965339</v>
      </c>
      <c r="N47" s="36">
        <f t="shared" si="9"/>
        <v>146060.53450139376</v>
      </c>
      <c r="O47" s="36">
        <f t="shared" si="10"/>
        <v>24166.506106777764</v>
      </c>
      <c r="P47" s="36"/>
      <c r="Q47" s="36">
        <f t="shared" si="11"/>
        <v>183043.57167034678</v>
      </c>
      <c r="R47" s="36">
        <f t="shared" si="12"/>
        <v>89600.337232973616</v>
      </c>
      <c r="S47" s="33"/>
    </row>
    <row r="48" spans="1:20" s="44" customFormat="1" ht="15.75" thickBot="1" x14ac:dyDescent="0.3">
      <c r="A48" s="5" t="s">
        <v>28</v>
      </c>
      <c r="B48" s="41"/>
      <c r="C48" s="61">
        <f>SUM(C36:C47)</f>
        <v>120610438.43350001</v>
      </c>
      <c r="D48" s="61">
        <f t="shared" ref="D48:E48" si="13">SUM(D36:D47)</f>
        <v>43981215.916500002</v>
      </c>
      <c r="E48" s="61">
        <f t="shared" si="13"/>
        <v>56351.5</v>
      </c>
      <c r="F48" s="61">
        <f>SUM(F36:F47)</f>
        <v>106229.02</v>
      </c>
      <c r="G48" s="39"/>
      <c r="H48" s="61">
        <f>SUM(H36:H47)</f>
        <v>35315037.1492</v>
      </c>
      <c r="I48" s="61">
        <f t="shared" ref="I48:R48" si="14">SUM(I36:I47)</f>
        <v>2207189.821825</v>
      </c>
      <c r="J48" s="61">
        <f t="shared" si="14"/>
        <v>2207189.821825</v>
      </c>
      <c r="K48" s="61"/>
      <c r="L48" s="61">
        <f t="shared" si="14"/>
        <v>274930.58175005054</v>
      </c>
      <c r="M48" s="61">
        <f t="shared" si="14"/>
        <v>209065.06454240243</v>
      </c>
      <c r="N48" s="61">
        <f t="shared" si="14"/>
        <v>1296255.6882157193</v>
      </c>
      <c r="O48" s="61">
        <f t="shared" si="14"/>
        <v>214472.52067197979</v>
      </c>
      <c r="P48" s="61"/>
      <c r="Q48" s="61">
        <f t="shared" si="14"/>
        <v>1624472.1531314435</v>
      </c>
      <c r="R48" s="61">
        <f t="shared" si="14"/>
        <v>795183.63533840457</v>
      </c>
      <c r="S48" s="39"/>
      <c r="T48" s="59"/>
    </row>
    <row r="49" spans="1:21" s="44" customFormat="1" ht="15.75" thickTop="1" x14ac:dyDescent="0.25">
      <c r="A49" s="41"/>
      <c r="B49" s="41"/>
      <c r="C49" s="39"/>
      <c r="D49" s="42"/>
      <c r="E49" s="42"/>
      <c r="F49" s="42"/>
      <c r="G49" s="42"/>
      <c r="H49" s="42"/>
      <c r="I49" s="42"/>
      <c r="L49" s="42"/>
      <c r="M49" s="42"/>
      <c r="N49" s="42"/>
      <c r="O49" s="42"/>
      <c r="Q49" s="42"/>
    </row>
    <row r="50" spans="1:21" s="44" customFormat="1" x14ac:dyDescent="0.25">
      <c r="A50" s="41"/>
      <c r="B50" s="41"/>
      <c r="C50" s="42">
        <f>C48/T26</f>
        <v>0.7327858688206933</v>
      </c>
      <c r="D50" s="42">
        <f>D48/T26</f>
        <v>0.26721413117930665</v>
      </c>
      <c r="E50" s="42"/>
      <c r="F50" s="42"/>
      <c r="G50" s="42"/>
      <c r="H50" s="42">
        <f>H48/($D$48+$E$48+$F$48)</f>
        <v>0.79999999999999993</v>
      </c>
      <c r="I50" s="42">
        <f t="shared" ref="I50:R50" si="15">I48/($D$48+$E$48+$F$48)</f>
        <v>4.9999999999999996E-2</v>
      </c>
      <c r="J50" s="42">
        <f t="shared" si="15"/>
        <v>4.9999999999999996E-2</v>
      </c>
      <c r="K50" s="42"/>
      <c r="L50" s="42">
        <f t="shared" si="15"/>
        <v>6.2280683571367236E-3</v>
      </c>
      <c r="M50" s="42">
        <f t="shared" si="15"/>
        <v>4.736001010768035E-3</v>
      </c>
      <c r="N50" s="42">
        <f t="shared" si="15"/>
        <v>2.9364390760553589E-2</v>
      </c>
      <c r="O50" s="42">
        <f t="shared" si="15"/>
        <v>4.8584974104004478E-3</v>
      </c>
      <c r="P50" s="42"/>
      <c r="Q50" s="42">
        <f t="shared" si="15"/>
        <v>3.6799556999321865E-2</v>
      </c>
      <c r="R50" s="42">
        <f t="shared" si="15"/>
        <v>1.8013485461819325E-2</v>
      </c>
      <c r="S50" s="42"/>
    </row>
    <row r="51" spans="1:21" s="44" customFormat="1" x14ac:dyDescent="0.25">
      <c r="A51" s="41"/>
      <c r="B51" s="41"/>
      <c r="C51" s="42"/>
      <c r="D51" s="42"/>
      <c r="F51" s="39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U51" s="59"/>
    </row>
    <row r="52" spans="1:21" s="44" customFormat="1" x14ac:dyDescent="0.25">
      <c r="A52" s="62" t="s">
        <v>55</v>
      </c>
      <c r="B52" s="41"/>
      <c r="C52" s="42"/>
      <c r="D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U52" s="59"/>
    </row>
    <row r="53" spans="1:21" s="46" customFormat="1" x14ac:dyDescent="0.25">
      <c r="A53" s="63" t="s">
        <v>56</v>
      </c>
      <c r="B53" s="64"/>
      <c r="C53" s="65"/>
      <c r="D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U53" s="59"/>
    </row>
    <row r="54" spans="1:21" s="46" customFormat="1" x14ac:dyDescent="0.25">
      <c r="A54" s="63" t="s">
        <v>57</v>
      </c>
      <c r="B54" s="64"/>
      <c r="C54" s="65"/>
      <c r="D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</row>
    <row r="55" spans="1:21" s="46" customFormat="1" x14ac:dyDescent="0.25">
      <c r="A55" s="63"/>
      <c r="B55" s="64"/>
      <c r="C55" s="65"/>
      <c r="D55" s="65"/>
      <c r="H55" s="66"/>
      <c r="I55" s="66"/>
      <c r="J55" s="66"/>
      <c r="K55" s="65"/>
      <c r="L55" s="67"/>
      <c r="M55" s="67"/>
      <c r="N55" s="67"/>
      <c r="O55" s="67"/>
      <c r="P55" s="65"/>
      <c r="Q55" s="67"/>
      <c r="R55" s="67"/>
      <c r="S55" s="68"/>
      <c r="T55" s="68"/>
    </row>
    <row r="56" spans="1:21" s="46" customFormat="1" ht="15" customHeight="1" x14ac:dyDescent="0.25">
      <c r="A56" s="63" t="s">
        <v>58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</row>
    <row r="57" spans="1:21" s="46" customFormat="1" x14ac:dyDescent="0.25">
      <c r="B57" s="64"/>
      <c r="C57" s="65"/>
      <c r="D57" s="7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</row>
    <row r="58" spans="1:21" ht="15" customHeight="1" x14ac:dyDescent="0.25">
      <c r="A58" s="71" t="s">
        <v>59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21" x14ac:dyDescent="0.25">
      <c r="A59" s="71" t="s">
        <v>60</v>
      </c>
    </row>
    <row r="61" spans="1:21" x14ac:dyDescent="0.25">
      <c r="A61" s="71" t="s">
        <v>61</v>
      </c>
    </row>
    <row r="62" spans="1:21" x14ac:dyDescent="0.25">
      <c r="A62" s="71"/>
      <c r="B62" s="72"/>
      <c r="C62" s="73"/>
      <c r="D62" s="73"/>
      <c r="E62" s="73"/>
      <c r="F62" s="73"/>
      <c r="G62" s="73"/>
      <c r="H62" s="73"/>
      <c r="I62" s="74"/>
      <c r="J62" s="73"/>
      <c r="K62" s="73"/>
      <c r="L62" s="73"/>
      <c r="M62" s="73"/>
      <c r="N62" s="73"/>
      <c r="O62" s="73"/>
    </row>
    <row r="63" spans="1:21" x14ac:dyDescent="0.25">
      <c r="A63" s="71"/>
    </row>
  </sheetData>
  <mergeCells count="12">
    <mergeCell ref="L34:R34"/>
    <mergeCell ref="A1:T1"/>
    <mergeCell ref="A2:T2"/>
    <mergeCell ref="A3:T3"/>
    <mergeCell ref="A4:T4"/>
    <mergeCell ref="A5:T5"/>
    <mergeCell ref="A8:T8"/>
    <mergeCell ref="C10:I10"/>
    <mergeCell ref="L10:O10"/>
    <mergeCell ref="Q10:R10"/>
    <mergeCell ref="A30:T30"/>
    <mergeCell ref="H32:R32"/>
  </mergeCells>
  <hyperlinks>
    <hyperlink ref="A4" r:id="rId1" xr:uid="{FF8D2BCF-D4F3-4606-989E-B880DD2727AE}"/>
  </hyperlinks>
  <printOptions horizontalCentered="1" verticalCentered="1"/>
  <pageMargins left="0" right="0" top="0.25" bottom="0.25" header="0.3" footer="0.3"/>
  <pageSetup scale="62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51E3C-93A1-4942-BB37-664944687AD3}">
  <sheetPr>
    <pageSetUpPr fitToPage="1"/>
  </sheetPr>
  <dimension ref="A1:U63"/>
  <sheetViews>
    <sheetView topLeftCell="A4" zoomScale="90" zoomScaleNormal="90" workbookViewId="0">
      <selection activeCell="H43" sqref="H43"/>
    </sheetView>
  </sheetViews>
  <sheetFormatPr defaultRowHeight="15" x14ac:dyDescent="0.25"/>
  <cols>
    <col min="1" max="1" width="9.28515625" style="5" customWidth="1"/>
    <col min="2" max="2" width="1.7109375" style="5" customWidth="1"/>
    <col min="3" max="3" width="14.5703125" style="29" bestFit="1" customWidth="1"/>
    <col min="4" max="5" width="13.5703125" style="29" bestFit="1" customWidth="1"/>
    <col min="6" max="6" width="18.140625" style="29" bestFit="1" customWidth="1"/>
    <col min="7" max="7" width="1.85546875" style="29" customWidth="1"/>
    <col min="8" max="8" width="15" style="29" customWidth="1"/>
    <col min="9" max="9" width="11.7109375" style="31" bestFit="1" customWidth="1"/>
    <col min="10" max="10" width="11.7109375" style="29" bestFit="1" customWidth="1"/>
    <col min="11" max="11" width="1.140625" style="29" customWidth="1"/>
    <col min="12" max="12" width="14" style="29" bestFit="1" customWidth="1"/>
    <col min="13" max="13" width="13.85546875" style="29" bestFit="1" customWidth="1"/>
    <col min="14" max="14" width="11.5703125" style="29" customWidth="1"/>
    <col min="15" max="15" width="12.42578125" style="29" customWidth="1"/>
    <col min="16" max="16" width="1.5703125" style="29" customWidth="1"/>
    <col min="17" max="17" width="15" style="29" bestFit="1" customWidth="1"/>
    <col min="18" max="18" width="12.140625" style="29" customWidth="1"/>
    <col min="19" max="19" width="1.7109375" style="1" customWidth="1"/>
    <col min="20" max="20" width="16" style="1" bestFit="1" customWidth="1"/>
    <col min="21" max="21" width="15" style="1" bestFit="1" customWidth="1"/>
    <col min="22" max="257" width="8.85546875" style="1"/>
    <col min="258" max="258" width="9.28515625" style="1" customWidth="1"/>
    <col min="259" max="259" width="1.7109375" style="1" customWidth="1"/>
    <col min="260" max="263" width="12" style="1" customWidth="1"/>
    <col min="264" max="264" width="11.85546875" style="1" customWidth="1"/>
    <col min="265" max="265" width="10.7109375" style="1" customWidth="1"/>
    <col min="266" max="266" width="10.5703125" style="1" customWidth="1"/>
    <col min="267" max="267" width="1.140625" style="1" customWidth="1"/>
    <col min="268" max="268" width="11.28515625" style="1" customWidth="1"/>
    <col min="269" max="269" width="12.7109375" style="1" customWidth="1"/>
    <col min="270" max="270" width="11.5703125" style="1" customWidth="1"/>
    <col min="271" max="271" width="12.42578125" style="1" customWidth="1"/>
    <col min="272" max="272" width="1.5703125" style="1" customWidth="1"/>
    <col min="273" max="273" width="11.42578125" style="1" customWidth="1"/>
    <col min="274" max="274" width="12.140625" style="1" customWidth="1"/>
    <col min="275" max="275" width="1.7109375" style="1" customWidth="1"/>
    <col min="276" max="276" width="13.5703125" style="1" customWidth="1"/>
    <col min="277" max="513" width="8.85546875" style="1"/>
    <col min="514" max="514" width="9.28515625" style="1" customWidth="1"/>
    <col min="515" max="515" width="1.7109375" style="1" customWidth="1"/>
    <col min="516" max="519" width="12" style="1" customWidth="1"/>
    <col min="520" max="520" width="11.85546875" style="1" customWidth="1"/>
    <col min="521" max="521" width="10.7109375" style="1" customWidth="1"/>
    <col min="522" max="522" width="10.5703125" style="1" customWidth="1"/>
    <col min="523" max="523" width="1.140625" style="1" customWidth="1"/>
    <col min="524" max="524" width="11.28515625" style="1" customWidth="1"/>
    <col min="525" max="525" width="12.7109375" style="1" customWidth="1"/>
    <col min="526" max="526" width="11.5703125" style="1" customWidth="1"/>
    <col min="527" max="527" width="12.42578125" style="1" customWidth="1"/>
    <col min="528" max="528" width="1.5703125" style="1" customWidth="1"/>
    <col min="529" max="529" width="11.42578125" style="1" customWidth="1"/>
    <col min="530" max="530" width="12.140625" style="1" customWidth="1"/>
    <col min="531" max="531" width="1.7109375" style="1" customWidth="1"/>
    <col min="532" max="532" width="13.5703125" style="1" customWidth="1"/>
    <col min="533" max="769" width="8.85546875" style="1"/>
    <col min="770" max="770" width="9.28515625" style="1" customWidth="1"/>
    <col min="771" max="771" width="1.7109375" style="1" customWidth="1"/>
    <col min="772" max="775" width="12" style="1" customWidth="1"/>
    <col min="776" max="776" width="11.85546875" style="1" customWidth="1"/>
    <col min="777" max="777" width="10.7109375" style="1" customWidth="1"/>
    <col min="778" max="778" width="10.5703125" style="1" customWidth="1"/>
    <col min="779" max="779" width="1.140625" style="1" customWidth="1"/>
    <col min="780" max="780" width="11.28515625" style="1" customWidth="1"/>
    <col min="781" max="781" width="12.7109375" style="1" customWidth="1"/>
    <col min="782" max="782" width="11.5703125" style="1" customWidth="1"/>
    <col min="783" max="783" width="12.42578125" style="1" customWidth="1"/>
    <col min="784" max="784" width="1.5703125" style="1" customWidth="1"/>
    <col min="785" max="785" width="11.42578125" style="1" customWidth="1"/>
    <col min="786" max="786" width="12.140625" style="1" customWidth="1"/>
    <col min="787" max="787" width="1.7109375" style="1" customWidth="1"/>
    <col min="788" max="788" width="13.5703125" style="1" customWidth="1"/>
    <col min="789" max="1025" width="8.85546875" style="1"/>
    <col min="1026" max="1026" width="9.28515625" style="1" customWidth="1"/>
    <col min="1027" max="1027" width="1.7109375" style="1" customWidth="1"/>
    <col min="1028" max="1031" width="12" style="1" customWidth="1"/>
    <col min="1032" max="1032" width="11.85546875" style="1" customWidth="1"/>
    <col min="1033" max="1033" width="10.7109375" style="1" customWidth="1"/>
    <col min="1034" max="1034" width="10.5703125" style="1" customWidth="1"/>
    <col min="1035" max="1035" width="1.140625" style="1" customWidth="1"/>
    <col min="1036" max="1036" width="11.28515625" style="1" customWidth="1"/>
    <col min="1037" max="1037" width="12.7109375" style="1" customWidth="1"/>
    <col min="1038" max="1038" width="11.5703125" style="1" customWidth="1"/>
    <col min="1039" max="1039" width="12.42578125" style="1" customWidth="1"/>
    <col min="1040" max="1040" width="1.5703125" style="1" customWidth="1"/>
    <col min="1041" max="1041" width="11.42578125" style="1" customWidth="1"/>
    <col min="1042" max="1042" width="12.140625" style="1" customWidth="1"/>
    <col min="1043" max="1043" width="1.7109375" style="1" customWidth="1"/>
    <col min="1044" max="1044" width="13.5703125" style="1" customWidth="1"/>
    <col min="1045" max="1281" width="8.85546875" style="1"/>
    <col min="1282" max="1282" width="9.28515625" style="1" customWidth="1"/>
    <col min="1283" max="1283" width="1.7109375" style="1" customWidth="1"/>
    <col min="1284" max="1287" width="12" style="1" customWidth="1"/>
    <col min="1288" max="1288" width="11.85546875" style="1" customWidth="1"/>
    <col min="1289" max="1289" width="10.7109375" style="1" customWidth="1"/>
    <col min="1290" max="1290" width="10.5703125" style="1" customWidth="1"/>
    <col min="1291" max="1291" width="1.140625" style="1" customWidth="1"/>
    <col min="1292" max="1292" width="11.28515625" style="1" customWidth="1"/>
    <col min="1293" max="1293" width="12.7109375" style="1" customWidth="1"/>
    <col min="1294" max="1294" width="11.5703125" style="1" customWidth="1"/>
    <col min="1295" max="1295" width="12.42578125" style="1" customWidth="1"/>
    <col min="1296" max="1296" width="1.5703125" style="1" customWidth="1"/>
    <col min="1297" max="1297" width="11.42578125" style="1" customWidth="1"/>
    <col min="1298" max="1298" width="12.140625" style="1" customWidth="1"/>
    <col min="1299" max="1299" width="1.7109375" style="1" customWidth="1"/>
    <col min="1300" max="1300" width="13.5703125" style="1" customWidth="1"/>
    <col min="1301" max="1537" width="8.85546875" style="1"/>
    <col min="1538" max="1538" width="9.28515625" style="1" customWidth="1"/>
    <col min="1539" max="1539" width="1.7109375" style="1" customWidth="1"/>
    <col min="1540" max="1543" width="12" style="1" customWidth="1"/>
    <col min="1544" max="1544" width="11.85546875" style="1" customWidth="1"/>
    <col min="1545" max="1545" width="10.7109375" style="1" customWidth="1"/>
    <col min="1546" max="1546" width="10.5703125" style="1" customWidth="1"/>
    <col min="1547" max="1547" width="1.140625" style="1" customWidth="1"/>
    <col min="1548" max="1548" width="11.28515625" style="1" customWidth="1"/>
    <col min="1549" max="1549" width="12.7109375" style="1" customWidth="1"/>
    <col min="1550" max="1550" width="11.5703125" style="1" customWidth="1"/>
    <col min="1551" max="1551" width="12.42578125" style="1" customWidth="1"/>
    <col min="1552" max="1552" width="1.5703125" style="1" customWidth="1"/>
    <col min="1553" max="1553" width="11.42578125" style="1" customWidth="1"/>
    <col min="1554" max="1554" width="12.140625" style="1" customWidth="1"/>
    <col min="1555" max="1555" width="1.7109375" style="1" customWidth="1"/>
    <col min="1556" max="1556" width="13.5703125" style="1" customWidth="1"/>
    <col min="1557" max="1793" width="8.85546875" style="1"/>
    <col min="1794" max="1794" width="9.28515625" style="1" customWidth="1"/>
    <col min="1795" max="1795" width="1.7109375" style="1" customWidth="1"/>
    <col min="1796" max="1799" width="12" style="1" customWidth="1"/>
    <col min="1800" max="1800" width="11.85546875" style="1" customWidth="1"/>
    <col min="1801" max="1801" width="10.7109375" style="1" customWidth="1"/>
    <col min="1802" max="1802" width="10.5703125" style="1" customWidth="1"/>
    <col min="1803" max="1803" width="1.140625" style="1" customWidth="1"/>
    <col min="1804" max="1804" width="11.28515625" style="1" customWidth="1"/>
    <col min="1805" max="1805" width="12.7109375" style="1" customWidth="1"/>
    <col min="1806" max="1806" width="11.5703125" style="1" customWidth="1"/>
    <col min="1807" max="1807" width="12.42578125" style="1" customWidth="1"/>
    <col min="1808" max="1808" width="1.5703125" style="1" customWidth="1"/>
    <col min="1809" max="1809" width="11.42578125" style="1" customWidth="1"/>
    <col min="1810" max="1810" width="12.140625" style="1" customWidth="1"/>
    <col min="1811" max="1811" width="1.7109375" style="1" customWidth="1"/>
    <col min="1812" max="1812" width="13.5703125" style="1" customWidth="1"/>
    <col min="1813" max="2049" width="8.85546875" style="1"/>
    <col min="2050" max="2050" width="9.28515625" style="1" customWidth="1"/>
    <col min="2051" max="2051" width="1.7109375" style="1" customWidth="1"/>
    <col min="2052" max="2055" width="12" style="1" customWidth="1"/>
    <col min="2056" max="2056" width="11.85546875" style="1" customWidth="1"/>
    <col min="2057" max="2057" width="10.7109375" style="1" customWidth="1"/>
    <col min="2058" max="2058" width="10.5703125" style="1" customWidth="1"/>
    <col min="2059" max="2059" width="1.140625" style="1" customWidth="1"/>
    <col min="2060" max="2060" width="11.28515625" style="1" customWidth="1"/>
    <col min="2061" max="2061" width="12.7109375" style="1" customWidth="1"/>
    <col min="2062" max="2062" width="11.5703125" style="1" customWidth="1"/>
    <col min="2063" max="2063" width="12.42578125" style="1" customWidth="1"/>
    <col min="2064" max="2064" width="1.5703125" style="1" customWidth="1"/>
    <col min="2065" max="2065" width="11.42578125" style="1" customWidth="1"/>
    <col min="2066" max="2066" width="12.140625" style="1" customWidth="1"/>
    <col min="2067" max="2067" width="1.7109375" style="1" customWidth="1"/>
    <col min="2068" max="2068" width="13.5703125" style="1" customWidth="1"/>
    <col min="2069" max="2305" width="8.85546875" style="1"/>
    <col min="2306" max="2306" width="9.28515625" style="1" customWidth="1"/>
    <col min="2307" max="2307" width="1.7109375" style="1" customWidth="1"/>
    <col min="2308" max="2311" width="12" style="1" customWidth="1"/>
    <col min="2312" max="2312" width="11.85546875" style="1" customWidth="1"/>
    <col min="2313" max="2313" width="10.7109375" style="1" customWidth="1"/>
    <col min="2314" max="2314" width="10.5703125" style="1" customWidth="1"/>
    <col min="2315" max="2315" width="1.140625" style="1" customWidth="1"/>
    <col min="2316" max="2316" width="11.28515625" style="1" customWidth="1"/>
    <col min="2317" max="2317" width="12.7109375" style="1" customWidth="1"/>
    <col min="2318" max="2318" width="11.5703125" style="1" customWidth="1"/>
    <col min="2319" max="2319" width="12.42578125" style="1" customWidth="1"/>
    <col min="2320" max="2320" width="1.5703125" style="1" customWidth="1"/>
    <col min="2321" max="2321" width="11.42578125" style="1" customWidth="1"/>
    <col min="2322" max="2322" width="12.140625" style="1" customWidth="1"/>
    <col min="2323" max="2323" width="1.7109375" style="1" customWidth="1"/>
    <col min="2324" max="2324" width="13.5703125" style="1" customWidth="1"/>
    <col min="2325" max="2561" width="8.85546875" style="1"/>
    <col min="2562" max="2562" width="9.28515625" style="1" customWidth="1"/>
    <col min="2563" max="2563" width="1.7109375" style="1" customWidth="1"/>
    <col min="2564" max="2567" width="12" style="1" customWidth="1"/>
    <col min="2568" max="2568" width="11.85546875" style="1" customWidth="1"/>
    <col min="2569" max="2569" width="10.7109375" style="1" customWidth="1"/>
    <col min="2570" max="2570" width="10.5703125" style="1" customWidth="1"/>
    <col min="2571" max="2571" width="1.140625" style="1" customWidth="1"/>
    <col min="2572" max="2572" width="11.28515625" style="1" customWidth="1"/>
    <col min="2573" max="2573" width="12.7109375" style="1" customWidth="1"/>
    <col min="2574" max="2574" width="11.5703125" style="1" customWidth="1"/>
    <col min="2575" max="2575" width="12.42578125" style="1" customWidth="1"/>
    <col min="2576" max="2576" width="1.5703125" style="1" customWidth="1"/>
    <col min="2577" max="2577" width="11.42578125" style="1" customWidth="1"/>
    <col min="2578" max="2578" width="12.140625" style="1" customWidth="1"/>
    <col min="2579" max="2579" width="1.7109375" style="1" customWidth="1"/>
    <col min="2580" max="2580" width="13.5703125" style="1" customWidth="1"/>
    <col min="2581" max="2817" width="8.85546875" style="1"/>
    <col min="2818" max="2818" width="9.28515625" style="1" customWidth="1"/>
    <col min="2819" max="2819" width="1.7109375" style="1" customWidth="1"/>
    <col min="2820" max="2823" width="12" style="1" customWidth="1"/>
    <col min="2824" max="2824" width="11.85546875" style="1" customWidth="1"/>
    <col min="2825" max="2825" width="10.7109375" style="1" customWidth="1"/>
    <col min="2826" max="2826" width="10.5703125" style="1" customWidth="1"/>
    <col min="2827" max="2827" width="1.140625" style="1" customWidth="1"/>
    <col min="2828" max="2828" width="11.28515625" style="1" customWidth="1"/>
    <col min="2829" max="2829" width="12.7109375" style="1" customWidth="1"/>
    <col min="2830" max="2830" width="11.5703125" style="1" customWidth="1"/>
    <col min="2831" max="2831" width="12.42578125" style="1" customWidth="1"/>
    <col min="2832" max="2832" width="1.5703125" style="1" customWidth="1"/>
    <col min="2833" max="2833" width="11.42578125" style="1" customWidth="1"/>
    <col min="2834" max="2834" width="12.140625" style="1" customWidth="1"/>
    <col min="2835" max="2835" width="1.7109375" style="1" customWidth="1"/>
    <col min="2836" max="2836" width="13.5703125" style="1" customWidth="1"/>
    <col min="2837" max="3073" width="8.85546875" style="1"/>
    <col min="3074" max="3074" width="9.28515625" style="1" customWidth="1"/>
    <col min="3075" max="3075" width="1.7109375" style="1" customWidth="1"/>
    <col min="3076" max="3079" width="12" style="1" customWidth="1"/>
    <col min="3080" max="3080" width="11.85546875" style="1" customWidth="1"/>
    <col min="3081" max="3081" width="10.7109375" style="1" customWidth="1"/>
    <col min="3082" max="3082" width="10.5703125" style="1" customWidth="1"/>
    <col min="3083" max="3083" width="1.140625" style="1" customWidth="1"/>
    <col min="3084" max="3084" width="11.28515625" style="1" customWidth="1"/>
    <col min="3085" max="3085" width="12.7109375" style="1" customWidth="1"/>
    <col min="3086" max="3086" width="11.5703125" style="1" customWidth="1"/>
    <col min="3087" max="3087" width="12.42578125" style="1" customWidth="1"/>
    <col min="3088" max="3088" width="1.5703125" style="1" customWidth="1"/>
    <col min="3089" max="3089" width="11.42578125" style="1" customWidth="1"/>
    <col min="3090" max="3090" width="12.140625" style="1" customWidth="1"/>
    <col min="3091" max="3091" width="1.7109375" style="1" customWidth="1"/>
    <col min="3092" max="3092" width="13.5703125" style="1" customWidth="1"/>
    <col min="3093" max="3329" width="8.85546875" style="1"/>
    <col min="3330" max="3330" width="9.28515625" style="1" customWidth="1"/>
    <col min="3331" max="3331" width="1.7109375" style="1" customWidth="1"/>
    <col min="3332" max="3335" width="12" style="1" customWidth="1"/>
    <col min="3336" max="3336" width="11.85546875" style="1" customWidth="1"/>
    <col min="3337" max="3337" width="10.7109375" style="1" customWidth="1"/>
    <col min="3338" max="3338" width="10.5703125" style="1" customWidth="1"/>
    <col min="3339" max="3339" width="1.140625" style="1" customWidth="1"/>
    <col min="3340" max="3340" width="11.28515625" style="1" customWidth="1"/>
    <col min="3341" max="3341" width="12.7109375" style="1" customWidth="1"/>
    <col min="3342" max="3342" width="11.5703125" style="1" customWidth="1"/>
    <col min="3343" max="3343" width="12.42578125" style="1" customWidth="1"/>
    <col min="3344" max="3344" width="1.5703125" style="1" customWidth="1"/>
    <col min="3345" max="3345" width="11.42578125" style="1" customWidth="1"/>
    <col min="3346" max="3346" width="12.140625" style="1" customWidth="1"/>
    <col min="3347" max="3347" width="1.7109375" style="1" customWidth="1"/>
    <col min="3348" max="3348" width="13.5703125" style="1" customWidth="1"/>
    <col min="3349" max="3585" width="8.85546875" style="1"/>
    <col min="3586" max="3586" width="9.28515625" style="1" customWidth="1"/>
    <col min="3587" max="3587" width="1.7109375" style="1" customWidth="1"/>
    <col min="3588" max="3591" width="12" style="1" customWidth="1"/>
    <col min="3592" max="3592" width="11.85546875" style="1" customWidth="1"/>
    <col min="3593" max="3593" width="10.7109375" style="1" customWidth="1"/>
    <col min="3594" max="3594" width="10.5703125" style="1" customWidth="1"/>
    <col min="3595" max="3595" width="1.140625" style="1" customWidth="1"/>
    <col min="3596" max="3596" width="11.28515625" style="1" customWidth="1"/>
    <col min="3597" max="3597" width="12.7109375" style="1" customWidth="1"/>
    <col min="3598" max="3598" width="11.5703125" style="1" customWidth="1"/>
    <col min="3599" max="3599" width="12.42578125" style="1" customWidth="1"/>
    <col min="3600" max="3600" width="1.5703125" style="1" customWidth="1"/>
    <col min="3601" max="3601" width="11.42578125" style="1" customWidth="1"/>
    <col min="3602" max="3602" width="12.140625" style="1" customWidth="1"/>
    <col min="3603" max="3603" width="1.7109375" style="1" customWidth="1"/>
    <col min="3604" max="3604" width="13.5703125" style="1" customWidth="1"/>
    <col min="3605" max="3841" width="8.85546875" style="1"/>
    <col min="3842" max="3842" width="9.28515625" style="1" customWidth="1"/>
    <col min="3843" max="3843" width="1.7109375" style="1" customWidth="1"/>
    <col min="3844" max="3847" width="12" style="1" customWidth="1"/>
    <col min="3848" max="3848" width="11.85546875" style="1" customWidth="1"/>
    <col min="3849" max="3849" width="10.7109375" style="1" customWidth="1"/>
    <col min="3850" max="3850" width="10.5703125" style="1" customWidth="1"/>
    <col min="3851" max="3851" width="1.140625" style="1" customWidth="1"/>
    <col min="3852" max="3852" width="11.28515625" style="1" customWidth="1"/>
    <col min="3853" max="3853" width="12.7109375" style="1" customWidth="1"/>
    <col min="3854" max="3854" width="11.5703125" style="1" customWidth="1"/>
    <col min="3855" max="3855" width="12.42578125" style="1" customWidth="1"/>
    <col min="3856" max="3856" width="1.5703125" style="1" customWidth="1"/>
    <col min="3857" max="3857" width="11.42578125" style="1" customWidth="1"/>
    <col min="3858" max="3858" width="12.140625" style="1" customWidth="1"/>
    <col min="3859" max="3859" width="1.7109375" style="1" customWidth="1"/>
    <col min="3860" max="3860" width="13.5703125" style="1" customWidth="1"/>
    <col min="3861" max="4097" width="8.85546875" style="1"/>
    <col min="4098" max="4098" width="9.28515625" style="1" customWidth="1"/>
    <col min="4099" max="4099" width="1.7109375" style="1" customWidth="1"/>
    <col min="4100" max="4103" width="12" style="1" customWidth="1"/>
    <col min="4104" max="4104" width="11.85546875" style="1" customWidth="1"/>
    <col min="4105" max="4105" width="10.7109375" style="1" customWidth="1"/>
    <col min="4106" max="4106" width="10.5703125" style="1" customWidth="1"/>
    <col min="4107" max="4107" width="1.140625" style="1" customWidth="1"/>
    <col min="4108" max="4108" width="11.28515625" style="1" customWidth="1"/>
    <col min="4109" max="4109" width="12.7109375" style="1" customWidth="1"/>
    <col min="4110" max="4110" width="11.5703125" style="1" customWidth="1"/>
    <col min="4111" max="4111" width="12.42578125" style="1" customWidth="1"/>
    <col min="4112" max="4112" width="1.5703125" style="1" customWidth="1"/>
    <col min="4113" max="4113" width="11.42578125" style="1" customWidth="1"/>
    <col min="4114" max="4114" width="12.140625" style="1" customWidth="1"/>
    <col min="4115" max="4115" width="1.7109375" style="1" customWidth="1"/>
    <col min="4116" max="4116" width="13.5703125" style="1" customWidth="1"/>
    <col min="4117" max="4353" width="8.85546875" style="1"/>
    <col min="4354" max="4354" width="9.28515625" style="1" customWidth="1"/>
    <col min="4355" max="4355" width="1.7109375" style="1" customWidth="1"/>
    <col min="4356" max="4359" width="12" style="1" customWidth="1"/>
    <col min="4360" max="4360" width="11.85546875" style="1" customWidth="1"/>
    <col min="4361" max="4361" width="10.7109375" style="1" customWidth="1"/>
    <col min="4362" max="4362" width="10.5703125" style="1" customWidth="1"/>
    <col min="4363" max="4363" width="1.140625" style="1" customWidth="1"/>
    <col min="4364" max="4364" width="11.28515625" style="1" customWidth="1"/>
    <col min="4365" max="4365" width="12.7109375" style="1" customWidth="1"/>
    <col min="4366" max="4366" width="11.5703125" style="1" customWidth="1"/>
    <col min="4367" max="4367" width="12.42578125" style="1" customWidth="1"/>
    <col min="4368" max="4368" width="1.5703125" style="1" customWidth="1"/>
    <col min="4369" max="4369" width="11.42578125" style="1" customWidth="1"/>
    <col min="4370" max="4370" width="12.140625" style="1" customWidth="1"/>
    <col min="4371" max="4371" width="1.7109375" style="1" customWidth="1"/>
    <col min="4372" max="4372" width="13.5703125" style="1" customWidth="1"/>
    <col min="4373" max="4609" width="8.85546875" style="1"/>
    <col min="4610" max="4610" width="9.28515625" style="1" customWidth="1"/>
    <col min="4611" max="4611" width="1.7109375" style="1" customWidth="1"/>
    <col min="4612" max="4615" width="12" style="1" customWidth="1"/>
    <col min="4616" max="4616" width="11.85546875" style="1" customWidth="1"/>
    <col min="4617" max="4617" width="10.7109375" style="1" customWidth="1"/>
    <col min="4618" max="4618" width="10.5703125" style="1" customWidth="1"/>
    <col min="4619" max="4619" width="1.140625" style="1" customWidth="1"/>
    <col min="4620" max="4620" width="11.28515625" style="1" customWidth="1"/>
    <col min="4621" max="4621" width="12.7109375" style="1" customWidth="1"/>
    <col min="4622" max="4622" width="11.5703125" style="1" customWidth="1"/>
    <col min="4623" max="4623" width="12.42578125" style="1" customWidth="1"/>
    <col min="4624" max="4624" width="1.5703125" style="1" customWidth="1"/>
    <col min="4625" max="4625" width="11.42578125" style="1" customWidth="1"/>
    <col min="4626" max="4626" width="12.140625" style="1" customWidth="1"/>
    <col min="4627" max="4627" width="1.7109375" style="1" customWidth="1"/>
    <col min="4628" max="4628" width="13.5703125" style="1" customWidth="1"/>
    <col min="4629" max="4865" width="8.85546875" style="1"/>
    <col min="4866" max="4866" width="9.28515625" style="1" customWidth="1"/>
    <col min="4867" max="4867" width="1.7109375" style="1" customWidth="1"/>
    <col min="4868" max="4871" width="12" style="1" customWidth="1"/>
    <col min="4872" max="4872" width="11.85546875" style="1" customWidth="1"/>
    <col min="4873" max="4873" width="10.7109375" style="1" customWidth="1"/>
    <col min="4874" max="4874" width="10.5703125" style="1" customWidth="1"/>
    <col min="4875" max="4875" width="1.140625" style="1" customWidth="1"/>
    <col min="4876" max="4876" width="11.28515625" style="1" customWidth="1"/>
    <col min="4877" max="4877" width="12.7109375" style="1" customWidth="1"/>
    <col min="4878" max="4878" width="11.5703125" style="1" customWidth="1"/>
    <col min="4879" max="4879" width="12.42578125" style="1" customWidth="1"/>
    <col min="4880" max="4880" width="1.5703125" style="1" customWidth="1"/>
    <col min="4881" max="4881" width="11.42578125" style="1" customWidth="1"/>
    <col min="4882" max="4882" width="12.140625" style="1" customWidth="1"/>
    <col min="4883" max="4883" width="1.7109375" style="1" customWidth="1"/>
    <col min="4884" max="4884" width="13.5703125" style="1" customWidth="1"/>
    <col min="4885" max="5121" width="8.85546875" style="1"/>
    <col min="5122" max="5122" width="9.28515625" style="1" customWidth="1"/>
    <col min="5123" max="5123" width="1.7109375" style="1" customWidth="1"/>
    <col min="5124" max="5127" width="12" style="1" customWidth="1"/>
    <col min="5128" max="5128" width="11.85546875" style="1" customWidth="1"/>
    <col min="5129" max="5129" width="10.7109375" style="1" customWidth="1"/>
    <col min="5130" max="5130" width="10.5703125" style="1" customWidth="1"/>
    <col min="5131" max="5131" width="1.140625" style="1" customWidth="1"/>
    <col min="5132" max="5132" width="11.28515625" style="1" customWidth="1"/>
    <col min="5133" max="5133" width="12.7109375" style="1" customWidth="1"/>
    <col min="5134" max="5134" width="11.5703125" style="1" customWidth="1"/>
    <col min="5135" max="5135" width="12.42578125" style="1" customWidth="1"/>
    <col min="5136" max="5136" width="1.5703125" style="1" customWidth="1"/>
    <col min="5137" max="5137" width="11.42578125" style="1" customWidth="1"/>
    <col min="5138" max="5138" width="12.140625" style="1" customWidth="1"/>
    <col min="5139" max="5139" width="1.7109375" style="1" customWidth="1"/>
    <col min="5140" max="5140" width="13.5703125" style="1" customWidth="1"/>
    <col min="5141" max="5377" width="8.85546875" style="1"/>
    <col min="5378" max="5378" width="9.28515625" style="1" customWidth="1"/>
    <col min="5379" max="5379" width="1.7109375" style="1" customWidth="1"/>
    <col min="5380" max="5383" width="12" style="1" customWidth="1"/>
    <col min="5384" max="5384" width="11.85546875" style="1" customWidth="1"/>
    <col min="5385" max="5385" width="10.7109375" style="1" customWidth="1"/>
    <col min="5386" max="5386" width="10.5703125" style="1" customWidth="1"/>
    <col min="5387" max="5387" width="1.140625" style="1" customWidth="1"/>
    <col min="5388" max="5388" width="11.28515625" style="1" customWidth="1"/>
    <col min="5389" max="5389" width="12.7109375" style="1" customWidth="1"/>
    <col min="5390" max="5390" width="11.5703125" style="1" customWidth="1"/>
    <col min="5391" max="5391" width="12.42578125" style="1" customWidth="1"/>
    <col min="5392" max="5392" width="1.5703125" style="1" customWidth="1"/>
    <col min="5393" max="5393" width="11.42578125" style="1" customWidth="1"/>
    <col min="5394" max="5394" width="12.140625" style="1" customWidth="1"/>
    <col min="5395" max="5395" width="1.7109375" style="1" customWidth="1"/>
    <col min="5396" max="5396" width="13.5703125" style="1" customWidth="1"/>
    <col min="5397" max="5633" width="8.85546875" style="1"/>
    <col min="5634" max="5634" width="9.28515625" style="1" customWidth="1"/>
    <col min="5635" max="5635" width="1.7109375" style="1" customWidth="1"/>
    <col min="5636" max="5639" width="12" style="1" customWidth="1"/>
    <col min="5640" max="5640" width="11.85546875" style="1" customWidth="1"/>
    <col min="5641" max="5641" width="10.7109375" style="1" customWidth="1"/>
    <col min="5642" max="5642" width="10.5703125" style="1" customWidth="1"/>
    <col min="5643" max="5643" width="1.140625" style="1" customWidth="1"/>
    <col min="5644" max="5644" width="11.28515625" style="1" customWidth="1"/>
    <col min="5645" max="5645" width="12.7109375" style="1" customWidth="1"/>
    <col min="5646" max="5646" width="11.5703125" style="1" customWidth="1"/>
    <col min="5647" max="5647" width="12.42578125" style="1" customWidth="1"/>
    <col min="5648" max="5648" width="1.5703125" style="1" customWidth="1"/>
    <col min="5649" max="5649" width="11.42578125" style="1" customWidth="1"/>
    <col min="5650" max="5650" width="12.140625" style="1" customWidth="1"/>
    <col min="5651" max="5651" width="1.7109375" style="1" customWidth="1"/>
    <col min="5652" max="5652" width="13.5703125" style="1" customWidth="1"/>
    <col min="5653" max="5889" width="8.85546875" style="1"/>
    <col min="5890" max="5890" width="9.28515625" style="1" customWidth="1"/>
    <col min="5891" max="5891" width="1.7109375" style="1" customWidth="1"/>
    <col min="5892" max="5895" width="12" style="1" customWidth="1"/>
    <col min="5896" max="5896" width="11.85546875" style="1" customWidth="1"/>
    <col min="5897" max="5897" width="10.7109375" style="1" customWidth="1"/>
    <col min="5898" max="5898" width="10.5703125" style="1" customWidth="1"/>
    <col min="5899" max="5899" width="1.140625" style="1" customWidth="1"/>
    <col min="5900" max="5900" width="11.28515625" style="1" customWidth="1"/>
    <col min="5901" max="5901" width="12.7109375" style="1" customWidth="1"/>
    <col min="5902" max="5902" width="11.5703125" style="1" customWidth="1"/>
    <col min="5903" max="5903" width="12.42578125" style="1" customWidth="1"/>
    <col min="5904" max="5904" width="1.5703125" style="1" customWidth="1"/>
    <col min="5905" max="5905" width="11.42578125" style="1" customWidth="1"/>
    <col min="5906" max="5906" width="12.140625" style="1" customWidth="1"/>
    <col min="5907" max="5907" width="1.7109375" style="1" customWidth="1"/>
    <col min="5908" max="5908" width="13.5703125" style="1" customWidth="1"/>
    <col min="5909" max="6145" width="8.85546875" style="1"/>
    <col min="6146" max="6146" width="9.28515625" style="1" customWidth="1"/>
    <col min="6147" max="6147" width="1.7109375" style="1" customWidth="1"/>
    <col min="6148" max="6151" width="12" style="1" customWidth="1"/>
    <col min="6152" max="6152" width="11.85546875" style="1" customWidth="1"/>
    <col min="6153" max="6153" width="10.7109375" style="1" customWidth="1"/>
    <col min="6154" max="6154" width="10.5703125" style="1" customWidth="1"/>
    <col min="6155" max="6155" width="1.140625" style="1" customWidth="1"/>
    <col min="6156" max="6156" width="11.28515625" style="1" customWidth="1"/>
    <col min="6157" max="6157" width="12.7109375" style="1" customWidth="1"/>
    <col min="6158" max="6158" width="11.5703125" style="1" customWidth="1"/>
    <col min="6159" max="6159" width="12.42578125" style="1" customWidth="1"/>
    <col min="6160" max="6160" width="1.5703125" style="1" customWidth="1"/>
    <col min="6161" max="6161" width="11.42578125" style="1" customWidth="1"/>
    <col min="6162" max="6162" width="12.140625" style="1" customWidth="1"/>
    <col min="6163" max="6163" width="1.7109375" style="1" customWidth="1"/>
    <col min="6164" max="6164" width="13.5703125" style="1" customWidth="1"/>
    <col min="6165" max="6401" width="8.85546875" style="1"/>
    <col min="6402" max="6402" width="9.28515625" style="1" customWidth="1"/>
    <col min="6403" max="6403" width="1.7109375" style="1" customWidth="1"/>
    <col min="6404" max="6407" width="12" style="1" customWidth="1"/>
    <col min="6408" max="6408" width="11.85546875" style="1" customWidth="1"/>
    <col min="6409" max="6409" width="10.7109375" style="1" customWidth="1"/>
    <col min="6410" max="6410" width="10.5703125" style="1" customWidth="1"/>
    <col min="6411" max="6411" width="1.140625" style="1" customWidth="1"/>
    <col min="6412" max="6412" width="11.28515625" style="1" customWidth="1"/>
    <col min="6413" max="6413" width="12.7109375" style="1" customWidth="1"/>
    <col min="6414" max="6414" width="11.5703125" style="1" customWidth="1"/>
    <col min="6415" max="6415" width="12.42578125" style="1" customWidth="1"/>
    <col min="6416" max="6416" width="1.5703125" style="1" customWidth="1"/>
    <col min="6417" max="6417" width="11.42578125" style="1" customWidth="1"/>
    <col min="6418" max="6418" width="12.140625" style="1" customWidth="1"/>
    <col min="6419" max="6419" width="1.7109375" style="1" customWidth="1"/>
    <col min="6420" max="6420" width="13.5703125" style="1" customWidth="1"/>
    <col min="6421" max="6657" width="8.85546875" style="1"/>
    <col min="6658" max="6658" width="9.28515625" style="1" customWidth="1"/>
    <col min="6659" max="6659" width="1.7109375" style="1" customWidth="1"/>
    <col min="6660" max="6663" width="12" style="1" customWidth="1"/>
    <col min="6664" max="6664" width="11.85546875" style="1" customWidth="1"/>
    <col min="6665" max="6665" width="10.7109375" style="1" customWidth="1"/>
    <col min="6666" max="6666" width="10.5703125" style="1" customWidth="1"/>
    <col min="6667" max="6667" width="1.140625" style="1" customWidth="1"/>
    <col min="6668" max="6668" width="11.28515625" style="1" customWidth="1"/>
    <col min="6669" max="6669" width="12.7109375" style="1" customWidth="1"/>
    <col min="6670" max="6670" width="11.5703125" style="1" customWidth="1"/>
    <col min="6671" max="6671" width="12.42578125" style="1" customWidth="1"/>
    <col min="6672" max="6672" width="1.5703125" style="1" customWidth="1"/>
    <col min="6673" max="6673" width="11.42578125" style="1" customWidth="1"/>
    <col min="6674" max="6674" width="12.140625" style="1" customWidth="1"/>
    <col min="6675" max="6675" width="1.7109375" style="1" customWidth="1"/>
    <col min="6676" max="6676" width="13.5703125" style="1" customWidth="1"/>
    <col min="6677" max="6913" width="8.85546875" style="1"/>
    <col min="6914" max="6914" width="9.28515625" style="1" customWidth="1"/>
    <col min="6915" max="6915" width="1.7109375" style="1" customWidth="1"/>
    <col min="6916" max="6919" width="12" style="1" customWidth="1"/>
    <col min="6920" max="6920" width="11.85546875" style="1" customWidth="1"/>
    <col min="6921" max="6921" width="10.7109375" style="1" customWidth="1"/>
    <col min="6922" max="6922" width="10.5703125" style="1" customWidth="1"/>
    <col min="6923" max="6923" width="1.140625" style="1" customWidth="1"/>
    <col min="6924" max="6924" width="11.28515625" style="1" customWidth="1"/>
    <col min="6925" max="6925" width="12.7109375" style="1" customWidth="1"/>
    <col min="6926" max="6926" width="11.5703125" style="1" customWidth="1"/>
    <col min="6927" max="6927" width="12.42578125" style="1" customWidth="1"/>
    <col min="6928" max="6928" width="1.5703125" style="1" customWidth="1"/>
    <col min="6929" max="6929" width="11.42578125" style="1" customWidth="1"/>
    <col min="6930" max="6930" width="12.140625" style="1" customWidth="1"/>
    <col min="6931" max="6931" width="1.7109375" style="1" customWidth="1"/>
    <col min="6932" max="6932" width="13.5703125" style="1" customWidth="1"/>
    <col min="6933" max="7169" width="8.85546875" style="1"/>
    <col min="7170" max="7170" width="9.28515625" style="1" customWidth="1"/>
    <col min="7171" max="7171" width="1.7109375" style="1" customWidth="1"/>
    <col min="7172" max="7175" width="12" style="1" customWidth="1"/>
    <col min="7176" max="7176" width="11.85546875" style="1" customWidth="1"/>
    <col min="7177" max="7177" width="10.7109375" style="1" customWidth="1"/>
    <col min="7178" max="7178" width="10.5703125" style="1" customWidth="1"/>
    <col min="7179" max="7179" width="1.140625" style="1" customWidth="1"/>
    <col min="7180" max="7180" width="11.28515625" style="1" customWidth="1"/>
    <col min="7181" max="7181" width="12.7109375" style="1" customWidth="1"/>
    <col min="7182" max="7182" width="11.5703125" style="1" customWidth="1"/>
    <col min="7183" max="7183" width="12.42578125" style="1" customWidth="1"/>
    <col min="7184" max="7184" width="1.5703125" style="1" customWidth="1"/>
    <col min="7185" max="7185" width="11.42578125" style="1" customWidth="1"/>
    <col min="7186" max="7186" width="12.140625" style="1" customWidth="1"/>
    <col min="7187" max="7187" width="1.7109375" style="1" customWidth="1"/>
    <col min="7188" max="7188" width="13.5703125" style="1" customWidth="1"/>
    <col min="7189" max="7425" width="8.85546875" style="1"/>
    <col min="7426" max="7426" width="9.28515625" style="1" customWidth="1"/>
    <col min="7427" max="7427" width="1.7109375" style="1" customWidth="1"/>
    <col min="7428" max="7431" width="12" style="1" customWidth="1"/>
    <col min="7432" max="7432" width="11.85546875" style="1" customWidth="1"/>
    <col min="7433" max="7433" width="10.7109375" style="1" customWidth="1"/>
    <col min="7434" max="7434" width="10.5703125" style="1" customWidth="1"/>
    <col min="7435" max="7435" width="1.140625" style="1" customWidth="1"/>
    <col min="7436" max="7436" width="11.28515625" style="1" customWidth="1"/>
    <col min="7437" max="7437" width="12.7109375" style="1" customWidth="1"/>
    <col min="7438" max="7438" width="11.5703125" style="1" customWidth="1"/>
    <col min="7439" max="7439" width="12.42578125" style="1" customWidth="1"/>
    <col min="7440" max="7440" width="1.5703125" style="1" customWidth="1"/>
    <col min="7441" max="7441" width="11.42578125" style="1" customWidth="1"/>
    <col min="7442" max="7442" width="12.140625" style="1" customWidth="1"/>
    <col min="7443" max="7443" width="1.7109375" style="1" customWidth="1"/>
    <col min="7444" max="7444" width="13.5703125" style="1" customWidth="1"/>
    <col min="7445" max="7681" width="8.85546875" style="1"/>
    <col min="7682" max="7682" width="9.28515625" style="1" customWidth="1"/>
    <col min="7683" max="7683" width="1.7109375" style="1" customWidth="1"/>
    <col min="7684" max="7687" width="12" style="1" customWidth="1"/>
    <col min="7688" max="7688" width="11.85546875" style="1" customWidth="1"/>
    <col min="7689" max="7689" width="10.7109375" style="1" customWidth="1"/>
    <col min="7690" max="7690" width="10.5703125" style="1" customWidth="1"/>
    <col min="7691" max="7691" width="1.140625" style="1" customWidth="1"/>
    <col min="7692" max="7692" width="11.28515625" style="1" customWidth="1"/>
    <col min="7693" max="7693" width="12.7109375" style="1" customWidth="1"/>
    <col min="7694" max="7694" width="11.5703125" style="1" customWidth="1"/>
    <col min="7695" max="7695" width="12.42578125" style="1" customWidth="1"/>
    <col min="7696" max="7696" width="1.5703125" style="1" customWidth="1"/>
    <col min="7697" max="7697" width="11.42578125" style="1" customWidth="1"/>
    <col min="7698" max="7698" width="12.140625" style="1" customWidth="1"/>
    <col min="7699" max="7699" width="1.7109375" style="1" customWidth="1"/>
    <col min="7700" max="7700" width="13.5703125" style="1" customWidth="1"/>
    <col min="7701" max="7937" width="8.85546875" style="1"/>
    <col min="7938" max="7938" width="9.28515625" style="1" customWidth="1"/>
    <col min="7939" max="7939" width="1.7109375" style="1" customWidth="1"/>
    <col min="7940" max="7943" width="12" style="1" customWidth="1"/>
    <col min="7944" max="7944" width="11.85546875" style="1" customWidth="1"/>
    <col min="7945" max="7945" width="10.7109375" style="1" customWidth="1"/>
    <col min="7946" max="7946" width="10.5703125" style="1" customWidth="1"/>
    <col min="7947" max="7947" width="1.140625" style="1" customWidth="1"/>
    <col min="7948" max="7948" width="11.28515625" style="1" customWidth="1"/>
    <col min="7949" max="7949" width="12.7109375" style="1" customWidth="1"/>
    <col min="7950" max="7950" width="11.5703125" style="1" customWidth="1"/>
    <col min="7951" max="7951" width="12.42578125" style="1" customWidth="1"/>
    <col min="7952" max="7952" width="1.5703125" style="1" customWidth="1"/>
    <col min="7953" max="7953" width="11.42578125" style="1" customWidth="1"/>
    <col min="7954" max="7954" width="12.140625" style="1" customWidth="1"/>
    <col min="7955" max="7955" width="1.7109375" style="1" customWidth="1"/>
    <col min="7956" max="7956" width="13.5703125" style="1" customWidth="1"/>
    <col min="7957" max="8193" width="8.85546875" style="1"/>
    <col min="8194" max="8194" width="9.28515625" style="1" customWidth="1"/>
    <col min="8195" max="8195" width="1.7109375" style="1" customWidth="1"/>
    <col min="8196" max="8199" width="12" style="1" customWidth="1"/>
    <col min="8200" max="8200" width="11.85546875" style="1" customWidth="1"/>
    <col min="8201" max="8201" width="10.7109375" style="1" customWidth="1"/>
    <col min="8202" max="8202" width="10.5703125" style="1" customWidth="1"/>
    <col min="8203" max="8203" width="1.140625" style="1" customWidth="1"/>
    <col min="8204" max="8204" width="11.28515625" style="1" customWidth="1"/>
    <col min="8205" max="8205" width="12.7109375" style="1" customWidth="1"/>
    <col min="8206" max="8206" width="11.5703125" style="1" customWidth="1"/>
    <col min="8207" max="8207" width="12.42578125" style="1" customWidth="1"/>
    <col min="8208" max="8208" width="1.5703125" style="1" customWidth="1"/>
    <col min="8209" max="8209" width="11.42578125" style="1" customWidth="1"/>
    <col min="8210" max="8210" width="12.140625" style="1" customWidth="1"/>
    <col min="8211" max="8211" width="1.7109375" style="1" customWidth="1"/>
    <col min="8212" max="8212" width="13.5703125" style="1" customWidth="1"/>
    <col min="8213" max="8449" width="8.85546875" style="1"/>
    <col min="8450" max="8450" width="9.28515625" style="1" customWidth="1"/>
    <col min="8451" max="8451" width="1.7109375" style="1" customWidth="1"/>
    <col min="8452" max="8455" width="12" style="1" customWidth="1"/>
    <col min="8456" max="8456" width="11.85546875" style="1" customWidth="1"/>
    <col min="8457" max="8457" width="10.7109375" style="1" customWidth="1"/>
    <col min="8458" max="8458" width="10.5703125" style="1" customWidth="1"/>
    <col min="8459" max="8459" width="1.140625" style="1" customWidth="1"/>
    <col min="8460" max="8460" width="11.28515625" style="1" customWidth="1"/>
    <col min="8461" max="8461" width="12.7109375" style="1" customWidth="1"/>
    <col min="8462" max="8462" width="11.5703125" style="1" customWidth="1"/>
    <col min="8463" max="8463" width="12.42578125" style="1" customWidth="1"/>
    <col min="8464" max="8464" width="1.5703125" style="1" customWidth="1"/>
    <col min="8465" max="8465" width="11.42578125" style="1" customWidth="1"/>
    <col min="8466" max="8466" width="12.140625" style="1" customWidth="1"/>
    <col min="8467" max="8467" width="1.7109375" style="1" customWidth="1"/>
    <col min="8468" max="8468" width="13.5703125" style="1" customWidth="1"/>
    <col min="8469" max="8705" width="8.85546875" style="1"/>
    <col min="8706" max="8706" width="9.28515625" style="1" customWidth="1"/>
    <col min="8707" max="8707" width="1.7109375" style="1" customWidth="1"/>
    <col min="8708" max="8711" width="12" style="1" customWidth="1"/>
    <col min="8712" max="8712" width="11.85546875" style="1" customWidth="1"/>
    <col min="8713" max="8713" width="10.7109375" style="1" customWidth="1"/>
    <col min="8714" max="8714" width="10.5703125" style="1" customWidth="1"/>
    <col min="8715" max="8715" width="1.140625" style="1" customWidth="1"/>
    <col min="8716" max="8716" width="11.28515625" style="1" customWidth="1"/>
    <col min="8717" max="8717" width="12.7109375" style="1" customWidth="1"/>
    <col min="8718" max="8718" width="11.5703125" style="1" customWidth="1"/>
    <col min="8719" max="8719" width="12.42578125" style="1" customWidth="1"/>
    <col min="8720" max="8720" width="1.5703125" style="1" customWidth="1"/>
    <col min="8721" max="8721" width="11.42578125" style="1" customWidth="1"/>
    <col min="8722" max="8722" width="12.140625" style="1" customWidth="1"/>
    <col min="8723" max="8723" width="1.7109375" style="1" customWidth="1"/>
    <col min="8724" max="8724" width="13.5703125" style="1" customWidth="1"/>
    <col min="8725" max="8961" width="8.85546875" style="1"/>
    <col min="8962" max="8962" width="9.28515625" style="1" customWidth="1"/>
    <col min="8963" max="8963" width="1.7109375" style="1" customWidth="1"/>
    <col min="8964" max="8967" width="12" style="1" customWidth="1"/>
    <col min="8968" max="8968" width="11.85546875" style="1" customWidth="1"/>
    <col min="8969" max="8969" width="10.7109375" style="1" customWidth="1"/>
    <col min="8970" max="8970" width="10.5703125" style="1" customWidth="1"/>
    <col min="8971" max="8971" width="1.140625" style="1" customWidth="1"/>
    <col min="8972" max="8972" width="11.28515625" style="1" customWidth="1"/>
    <col min="8973" max="8973" width="12.7109375" style="1" customWidth="1"/>
    <col min="8974" max="8974" width="11.5703125" style="1" customWidth="1"/>
    <col min="8975" max="8975" width="12.42578125" style="1" customWidth="1"/>
    <col min="8976" max="8976" width="1.5703125" style="1" customWidth="1"/>
    <col min="8977" max="8977" width="11.42578125" style="1" customWidth="1"/>
    <col min="8978" max="8978" width="12.140625" style="1" customWidth="1"/>
    <col min="8979" max="8979" width="1.7109375" style="1" customWidth="1"/>
    <col min="8980" max="8980" width="13.5703125" style="1" customWidth="1"/>
    <col min="8981" max="9217" width="8.85546875" style="1"/>
    <col min="9218" max="9218" width="9.28515625" style="1" customWidth="1"/>
    <col min="9219" max="9219" width="1.7109375" style="1" customWidth="1"/>
    <col min="9220" max="9223" width="12" style="1" customWidth="1"/>
    <col min="9224" max="9224" width="11.85546875" style="1" customWidth="1"/>
    <col min="9225" max="9225" width="10.7109375" style="1" customWidth="1"/>
    <col min="9226" max="9226" width="10.5703125" style="1" customWidth="1"/>
    <col min="9227" max="9227" width="1.140625" style="1" customWidth="1"/>
    <col min="9228" max="9228" width="11.28515625" style="1" customWidth="1"/>
    <col min="9229" max="9229" width="12.7109375" style="1" customWidth="1"/>
    <col min="9230" max="9230" width="11.5703125" style="1" customWidth="1"/>
    <col min="9231" max="9231" width="12.42578125" style="1" customWidth="1"/>
    <col min="9232" max="9232" width="1.5703125" style="1" customWidth="1"/>
    <col min="9233" max="9233" width="11.42578125" style="1" customWidth="1"/>
    <col min="9234" max="9234" width="12.140625" style="1" customWidth="1"/>
    <col min="9235" max="9235" width="1.7109375" style="1" customWidth="1"/>
    <col min="9236" max="9236" width="13.5703125" style="1" customWidth="1"/>
    <col min="9237" max="9473" width="8.85546875" style="1"/>
    <col min="9474" max="9474" width="9.28515625" style="1" customWidth="1"/>
    <col min="9475" max="9475" width="1.7109375" style="1" customWidth="1"/>
    <col min="9476" max="9479" width="12" style="1" customWidth="1"/>
    <col min="9480" max="9480" width="11.85546875" style="1" customWidth="1"/>
    <col min="9481" max="9481" width="10.7109375" style="1" customWidth="1"/>
    <col min="9482" max="9482" width="10.5703125" style="1" customWidth="1"/>
    <col min="9483" max="9483" width="1.140625" style="1" customWidth="1"/>
    <col min="9484" max="9484" width="11.28515625" style="1" customWidth="1"/>
    <col min="9485" max="9485" width="12.7109375" style="1" customWidth="1"/>
    <col min="9486" max="9486" width="11.5703125" style="1" customWidth="1"/>
    <col min="9487" max="9487" width="12.42578125" style="1" customWidth="1"/>
    <col min="9488" max="9488" width="1.5703125" style="1" customWidth="1"/>
    <col min="9489" max="9489" width="11.42578125" style="1" customWidth="1"/>
    <col min="9490" max="9490" width="12.140625" style="1" customWidth="1"/>
    <col min="9491" max="9491" width="1.7109375" style="1" customWidth="1"/>
    <col min="9492" max="9492" width="13.5703125" style="1" customWidth="1"/>
    <col min="9493" max="9729" width="8.85546875" style="1"/>
    <col min="9730" max="9730" width="9.28515625" style="1" customWidth="1"/>
    <col min="9731" max="9731" width="1.7109375" style="1" customWidth="1"/>
    <col min="9732" max="9735" width="12" style="1" customWidth="1"/>
    <col min="9736" max="9736" width="11.85546875" style="1" customWidth="1"/>
    <col min="9737" max="9737" width="10.7109375" style="1" customWidth="1"/>
    <col min="9738" max="9738" width="10.5703125" style="1" customWidth="1"/>
    <col min="9739" max="9739" width="1.140625" style="1" customWidth="1"/>
    <col min="9740" max="9740" width="11.28515625" style="1" customWidth="1"/>
    <col min="9741" max="9741" width="12.7109375" style="1" customWidth="1"/>
    <col min="9742" max="9742" width="11.5703125" style="1" customWidth="1"/>
    <col min="9743" max="9743" width="12.42578125" style="1" customWidth="1"/>
    <col min="9744" max="9744" width="1.5703125" style="1" customWidth="1"/>
    <col min="9745" max="9745" width="11.42578125" style="1" customWidth="1"/>
    <col min="9746" max="9746" width="12.140625" style="1" customWidth="1"/>
    <col min="9747" max="9747" width="1.7109375" style="1" customWidth="1"/>
    <col min="9748" max="9748" width="13.5703125" style="1" customWidth="1"/>
    <col min="9749" max="9985" width="8.85546875" style="1"/>
    <col min="9986" max="9986" width="9.28515625" style="1" customWidth="1"/>
    <col min="9987" max="9987" width="1.7109375" style="1" customWidth="1"/>
    <col min="9988" max="9991" width="12" style="1" customWidth="1"/>
    <col min="9992" max="9992" width="11.85546875" style="1" customWidth="1"/>
    <col min="9993" max="9993" width="10.7109375" style="1" customWidth="1"/>
    <col min="9994" max="9994" width="10.5703125" style="1" customWidth="1"/>
    <col min="9995" max="9995" width="1.140625" style="1" customWidth="1"/>
    <col min="9996" max="9996" width="11.28515625" style="1" customWidth="1"/>
    <col min="9997" max="9997" width="12.7109375" style="1" customWidth="1"/>
    <col min="9998" max="9998" width="11.5703125" style="1" customWidth="1"/>
    <col min="9999" max="9999" width="12.42578125" style="1" customWidth="1"/>
    <col min="10000" max="10000" width="1.5703125" style="1" customWidth="1"/>
    <col min="10001" max="10001" width="11.42578125" style="1" customWidth="1"/>
    <col min="10002" max="10002" width="12.140625" style="1" customWidth="1"/>
    <col min="10003" max="10003" width="1.7109375" style="1" customWidth="1"/>
    <col min="10004" max="10004" width="13.5703125" style="1" customWidth="1"/>
    <col min="10005" max="10241" width="8.85546875" style="1"/>
    <col min="10242" max="10242" width="9.28515625" style="1" customWidth="1"/>
    <col min="10243" max="10243" width="1.7109375" style="1" customWidth="1"/>
    <col min="10244" max="10247" width="12" style="1" customWidth="1"/>
    <col min="10248" max="10248" width="11.85546875" style="1" customWidth="1"/>
    <col min="10249" max="10249" width="10.7109375" style="1" customWidth="1"/>
    <col min="10250" max="10250" width="10.5703125" style="1" customWidth="1"/>
    <col min="10251" max="10251" width="1.140625" style="1" customWidth="1"/>
    <col min="10252" max="10252" width="11.28515625" style="1" customWidth="1"/>
    <col min="10253" max="10253" width="12.7109375" style="1" customWidth="1"/>
    <col min="10254" max="10254" width="11.5703125" style="1" customWidth="1"/>
    <col min="10255" max="10255" width="12.42578125" style="1" customWidth="1"/>
    <col min="10256" max="10256" width="1.5703125" style="1" customWidth="1"/>
    <col min="10257" max="10257" width="11.42578125" style="1" customWidth="1"/>
    <col min="10258" max="10258" width="12.140625" style="1" customWidth="1"/>
    <col min="10259" max="10259" width="1.7109375" style="1" customWidth="1"/>
    <col min="10260" max="10260" width="13.5703125" style="1" customWidth="1"/>
    <col min="10261" max="10497" width="8.85546875" style="1"/>
    <col min="10498" max="10498" width="9.28515625" style="1" customWidth="1"/>
    <col min="10499" max="10499" width="1.7109375" style="1" customWidth="1"/>
    <col min="10500" max="10503" width="12" style="1" customWidth="1"/>
    <col min="10504" max="10504" width="11.85546875" style="1" customWidth="1"/>
    <col min="10505" max="10505" width="10.7109375" style="1" customWidth="1"/>
    <col min="10506" max="10506" width="10.5703125" style="1" customWidth="1"/>
    <col min="10507" max="10507" width="1.140625" style="1" customWidth="1"/>
    <col min="10508" max="10508" width="11.28515625" style="1" customWidth="1"/>
    <col min="10509" max="10509" width="12.7109375" style="1" customWidth="1"/>
    <col min="10510" max="10510" width="11.5703125" style="1" customWidth="1"/>
    <col min="10511" max="10511" width="12.42578125" style="1" customWidth="1"/>
    <col min="10512" max="10512" width="1.5703125" style="1" customWidth="1"/>
    <col min="10513" max="10513" width="11.42578125" style="1" customWidth="1"/>
    <col min="10514" max="10514" width="12.140625" style="1" customWidth="1"/>
    <col min="10515" max="10515" width="1.7109375" style="1" customWidth="1"/>
    <col min="10516" max="10516" width="13.5703125" style="1" customWidth="1"/>
    <col min="10517" max="10753" width="8.85546875" style="1"/>
    <col min="10754" max="10754" width="9.28515625" style="1" customWidth="1"/>
    <col min="10755" max="10755" width="1.7109375" style="1" customWidth="1"/>
    <col min="10756" max="10759" width="12" style="1" customWidth="1"/>
    <col min="10760" max="10760" width="11.85546875" style="1" customWidth="1"/>
    <col min="10761" max="10761" width="10.7109375" style="1" customWidth="1"/>
    <col min="10762" max="10762" width="10.5703125" style="1" customWidth="1"/>
    <col min="10763" max="10763" width="1.140625" style="1" customWidth="1"/>
    <col min="10764" max="10764" width="11.28515625" style="1" customWidth="1"/>
    <col min="10765" max="10765" width="12.7109375" style="1" customWidth="1"/>
    <col min="10766" max="10766" width="11.5703125" style="1" customWidth="1"/>
    <col min="10767" max="10767" width="12.42578125" style="1" customWidth="1"/>
    <col min="10768" max="10768" width="1.5703125" style="1" customWidth="1"/>
    <col min="10769" max="10769" width="11.42578125" style="1" customWidth="1"/>
    <col min="10770" max="10770" width="12.140625" style="1" customWidth="1"/>
    <col min="10771" max="10771" width="1.7109375" style="1" customWidth="1"/>
    <col min="10772" max="10772" width="13.5703125" style="1" customWidth="1"/>
    <col min="10773" max="11009" width="8.85546875" style="1"/>
    <col min="11010" max="11010" width="9.28515625" style="1" customWidth="1"/>
    <col min="11011" max="11011" width="1.7109375" style="1" customWidth="1"/>
    <col min="11012" max="11015" width="12" style="1" customWidth="1"/>
    <col min="11016" max="11016" width="11.85546875" style="1" customWidth="1"/>
    <col min="11017" max="11017" width="10.7109375" style="1" customWidth="1"/>
    <col min="11018" max="11018" width="10.5703125" style="1" customWidth="1"/>
    <col min="11019" max="11019" width="1.140625" style="1" customWidth="1"/>
    <col min="11020" max="11020" width="11.28515625" style="1" customWidth="1"/>
    <col min="11021" max="11021" width="12.7109375" style="1" customWidth="1"/>
    <col min="11022" max="11022" width="11.5703125" style="1" customWidth="1"/>
    <col min="11023" max="11023" width="12.42578125" style="1" customWidth="1"/>
    <col min="11024" max="11024" width="1.5703125" style="1" customWidth="1"/>
    <col min="11025" max="11025" width="11.42578125" style="1" customWidth="1"/>
    <col min="11026" max="11026" width="12.140625" style="1" customWidth="1"/>
    <col min="11027" max="11027" width="1.7109375" style="1" customWidth="1"/>
    <col min="11028" max="11028" width="13.5703125" style="1" customWidth="1"/>
    <col min="11029" max="11265" width="8.85546875" style="1"/>
    <col min="11266" max="11266" width="9.28515625" style="1" customWidth="1"/>
    <col min="11267" max="11267" width="1.7109375" style="1" customWidth="1"/>
    <col min="11268" max="11271" width="12" style="1" customWidth="1"/>
    <col min="11272" max="11272" width="11.85546875" style="1" customWidth="1"/>
    <col min="11273" max="11273" width="10.7109375" style="1" customWidth="1"/>
    <col min="11274" max="11274" width="10.5703125" style="1" customWidth="1"/>
    <col min="11275" max="11275" width="1.140625" style="1" customWidth="1"/>
    <col min="11276" max="11276" width="11.28515625" style="1" customWidth="1"/>
    <col min="11277" max="11277" width="12.7109375" style="1" customWidth="1"/>
    <col min="11278" max="11278" width="11.5703125" style="1" customWidth="1"/>
    <col min="11279" max="11279" width="12.42578125" style="1" customWidth="1"/>
    <col min="11280" max="11280" width="1.5703125" style="1" customWidth="1"/>
    <col min="11281" max="11281" width="11.42578125" style="1" customWidth="1"/>
    <col min="11282" max="11282" width="12.140625" style="1" customWidth="1"/>
    <col min="11283" max="11283" width="1.7109375" style="1" customWidth="1"/>
    <col min="11284" max="11284" width="13.5703125" style="1" customWidth="1"/>
    <col min="11285" max="11521" width="8.85546875" style="1"/>
    <col min="11522" max="11522" width="9.28515625" style="1" customWidth="1"/>
    <col min="11523" max="11523" width="1.7109375" style="1" customWidth="1"/>
    <col min="11524" max="11527" width="12" style="1" customWidth="1"/>
    <col min="11528" max="11528" width="11.85546875" style="1" customWidth="1"/>
    <col min="11529" max="11529" width="10.7109375" style="1" customWidth="1"/>
    <col min="11530" max="11530" width="10.5703125" style="1" customWidth="1"/>
    <col min="11531" max="11531" width="1.140625" style="1" customWidth="1"/>
    <col min="11532" max="11532" width="11.28515625" style="1" customWidth="1"/>
    <col min="11533" max="11533" width="12.7109375" style="1" customWidth="1"/>
    <col min="11534" max="11534" width="11.5703125" style="1" customWidth="1"/>
    <col min="11535" max="11535" width="12.42578125" style="1" customWidth="1"/>
    <col min="11536" max="11536" width="1.5703125" style="1" customWidth="1"/>
    <col min="11537" max="11537" width="11.42578125" style="1" customWidth="1"/>
    <col min="11538" max="11538" width="12.140625" style="1" customWidth="1"/>
    <col min="11539" max="11539" width="1.7109375" style="1" customWidth="1"/>
    <col min="11540" max="11540" width="13.5703125" style="1" customWidth="1"/>
    <col min="11541" max="11777" width="8.85546875" style="1"/>
    <col min="11778" max="11778" width="9.28515625" style="1" customWidth="1"/>
    <col min="11779" max="11779" width="1.7109375" style="1" customWidth="1"/>
    <col min="11780" max="11783" width="12" style="1" customWidth="1"/>
    <col min="11784" max="11784" width="11.85546875" style="1" customWidth="1"/>
    <col min="11785" max="11785" width="10.7109375" style="1" customWidth="1"/>
    <col min="11786" max="11786" width="10.5703125" style="1" customWidth="1"/>
    <col min="11787" max="11787" width="1.140625" style="1" customWidth="1"/>
    <col min="11788" max="11788" width="11.28515625" style="1" customWidth="1"/>
    <col min="11789" max="11789" width="12.7109375" style="1" customWidth="1"/>
    <col min="11790" max="11790" width="11.5703125" style="1" customWidth="1"/>
    <col min="11791" max="11791" width="12.42578125" style="1" customWidth="1"/>
    <col min="11792" max="11792" width="1.5703125" style="1" customWidth="1"/>
    <col min="11793" max="11793" width="11.42578125" style="1" customWidth="1"/>
    <col min="11794" max="11794" width="12.140625" style="1" customWidth="1"/>
    <col min="11795" max="11795" width="1.7109375" style="1" customWidth="1"/>
    <col min="11796" max="11796" width="13.5703125" style="1" customWidth="1"/>
    <col min="11797" max="12033" width="8.85546875" style="1"/>
    <col min="12034" max="12034" width="9.28515625" style="1" customWidth="1"/>
    <col min="12035" max="12035" width="1.7109375" style="1" customWidth="1"/>
    <col min="12036" max="12039" width="12" style="1" customWidth="1"/>
    <col min="12040" max="12040" width="11.85546875" style="1" customWidth="1"/>
    <col min="12041" max="12041" width="10.7109375" style="1" customWidth="1"/>
    <col min="12042" max="12042" width="10.5703125" style="1" customWidth="1"/>
    <col min="12043" max="12043" width="1.140625" style="1" customWidth="1"/>
    <col min="12044" max="12044" width="11.28515625" style="1" customWidth="1"/>
    <col min="12045" max="12045" width="12.7109375" style="1" customWidth="1"/>
    <col min="12046" max="12046" width="11.5703125" style="1" customWidth="1"/>
    <col min="12047" max="12047" width="12.42578125" style="1" customWidth="1"/>
    <col min="12048" max="12048" width="1.5703125" style="1" customWidth="1"/>
    <col min="12049" max="12049" width="11.42578125" style="1" customWidth="1"/>
    <col min="12050" max="12050" width="12.140625" style="1" customWidth="1"/>
    <col min="12051" max="12051" width="1.7109375" style="1" customWidth="1"/>
    <col min="12052" max="12052" width="13.5703125" style="1" customWidth="1"/>
    <col min="12053" max="12289" width="8.85546875" style="1"/>
    <col min="12290" max="12290" width="9.28515625" style="1" customWidth="1"/>
    <col min="12291" max="12291" width="1.7109375" style="1" customWidth="1"/>
    <col min="12292" max="12295" width="12" style="1" customWidth="1"/>
    <col min="12296" max="12296" width="11.85546875" style="1" customWidth="1"/>
    <col min="12297" max="12297" width="10.7109375" style="1" customWidth="1"/>
    <col min="12298" max="12298" width="10.5703125" style="1" customWidth="1"/>
    <col min="12299" max="12299" width="1.140625" style="1" customWidth="1"/>
    <col min="12300" max="12300" width="11.28515625" style="1" customWidth="1"/>
    <col min="12301" max="12301" width="12.7109375" style="1" customWidth="1"/>
    <col min="12302" max="12302" width="11.5703125" style="1" customWidth="1"/>
    <col min="12303" max="12303" width="12.42578125" style="1" customWidth="1"/>
    <col min="12304" max="12304" width="1.5703125" style="1" customWidth="1"/>
    <col min="12305" max="12305" width="11.42578125" style="1" customWidth="1"/>
    <col min="12306" max="12306" width="12.140625" style="1" customWidth="1"/>
    <col min="12307" max="12307" width="1.7109375" style="1" customWidth="1"/>
    <col min="12308" max="12308" width="13.5703125" style="1" customWidth="1"/>
    <col min="12309" max="12545" width="8.85546875" style="1"/>
    <col min="12546" max="12546" width="9.28515625" style="1" customWidth="1"/>
    <col min="12547" max="12547" width="1.7109375" style="1" customWidth="1"/>
    <col min="12548" max="12551" width="12" style="1" customWidth="1"/>
    <col min="12552" max="12552" width="11.85546875" style="1" customWidth="1"/>
    <col min="12553" max="12553" width="10.7109375" style="1" customWidth="1"/>
    <col min="12554" max="12554" width="10.5703125" style="1" customWidth="1"/>
    <col min="12555" max="12555" width="1.140625" style="1" customWidth="1"/>
    <col min="12556" max="12556" width="11.28515625" style="1" customWidth="1"/>
    <col min="12557" max="12557" width="12.7109375" style="1" customWidth="1"/>
    <col min="12558" max="12558" width="11.5703125" style="1" customWidth="1"/>
    <col min="12559" max="12559" width="12.42578125" style="1" customWidth="1"/>
    <col min="12560" max="12560" width="1.5703125" style="1" customWidth="1"/>
    <col min="12561" max="12561" width="11.42578125" style="1" customWidth="1"/>
    <col min="12562" max="12562" width="12.140625" style="1" customWidth="1"/>
    <col min="12563" max="12563" width="1.7109375" style="1" customWidth="1"/>
    <col min="12564" max="12564" width="13.5703125" style="1" customWidth="1"/>
    <col min="12565" max="12801" width="8.85546875" style="1"/>
    <col min="12802" max="12802" width="9.28515625" style="1" customWidth="1"/>
    <col min="12803" max="12803" width="1.7109375" style="1" customWidth="1"/>
    <col min="12804" max="12807" width="12" style="1" customWidth="1"/>
    <col min="12808" max="12808" width="11.85546875" style="1" customWidth="1"/>
    <col min="12809" max="12809" width="10.7109375" style="1" customWidth="1"/>
    <col min="12810" max="12810" width="10.5703125" style="1" customWidth="1"/>
    <col min="12811" max="12811" width="1.140625" style="1" customWidth="1"/>
    <col min="12812" max="12812" width="11.28515625" style="1" customWidth="1"/>
    <col min="12813" max="12813" width="12.7109375" style="1" customWidth="1"/>
    <col min="12814" max="12814" width="11.5703125" style="1" customWidth="1"/>
    <col min="12815" max="12815" width="12.42578125" style="1" customWidth="1"/>
    <col min="12816" max="12816" width="1.5703125" style="1" customWidth="1"/>
    <col min="12817" max="12817" width="11.42578125" style="1" customWidth="1"/>
    <col min="12818" max="12818" width="12.140625" style="1" customWidth="1"/>
    <col min="12819" max="12819" width="1.7109375" style="1" customWidth="1"/>
    <col min="12820" max="12820" width="13.5703125" style="1" customWidth="1"/>
    <col min="12821" max="13057" width="8.85546875" style="1"/>
    <col min="13058" max="13058" width="9.28515625" style="1" customWidth="1"/>
    <col min="13059" max="13059" width="1.7109375" style="1" customWidth="1"/>
    <col min="13060" max="13063" width="12" style="1" customWidth="1"/>
    <col min="13064" max="13064" width="11.85546875" style="1" customWidth="1"/>
    <col min="13065" max="13065" width="10.7109375" style="1" customWidth="1"/>
    <col min="13066" max="13066" width="10.5703125" style="1" customWidth="1"/>
    <col min="13067" max="13067" width="1.140625" style="1" customWidth="1"/>
    <col min="13068" max="13068" width="11.28515625" style="1" customWidth="1"/>
    <col min="13069" max="13069" width="12.7109375" style="1" customWidth="1"/>
    <col min="13070" max="13070" width="11.5703125" style="1" customWidth="1"/>
    <col min="13071" max="13071" width="12.42578125" style="1" customWidth="1"/>
    <col min="13072" max="13072" width="1.5703125" style="1" customWidth="1"/>
    <col min="13073" max="13073" width="11.42578125" style="1" customWidth="1"/>
    <col min="13074" max="13074" width="12.140625" style="1" customWidth="1"/>
    <col min="13075" max="13075" width="1.7109375" style="1" customWidth="1"/>
    <col min="13076" max="13076" width="13.5703125" style="1" customWidth="1"/>
    <col min="13077" max="13313" width="8.85546875" style="1"/>
    <col min="13314" max="13314" width="9.28515625" style="1" customWidth="1"/>
    <col min="13315" max="13315" width="1.7109375" style="1" customWidth="1"/>
    <col min="13316" max="13319" width="12" style="1" customWidth="1"/>
    <col min="13320" max="13320" width="11.85546875" style="1" customWidth="1"/>
    <col min="13321" max="13321" width="10.7109375" style="1" customWidth="1"/>
    <col min="13322" max="13322" width="10.5703125" style="1" customWidth="1"/>
    <col min="13323" max="13323" width="1.140625" style="1" customWidth="1"/>
    <col min="13324" max="13324" width="11.28515625" style="1" customWidth="1"/>
    <col min="13325" max="13325" width="12.7109375" style="1" customWidth="1"/>
    <col min="13326" max="13326" width="11.5703125" style="1" customWidth="1"/>
    <col min="13327" max="13327" width="12.42578125" style="1" customWidth="1"/>
    <col min="13328" max="13328" width="1.5703125" style="1" customWidth="1"/>
    <col min="13329" max="13329" width="11.42578125" style="1" customWidth="1"/>
    <col min="13330" max="13330" width="12.140625" style="1" customWidth="1"/>
    <col min="13331" max="13331" width="1.7109375" style="1" customWidth="1"/>
    <col min="13332" max="13332" width="13.5703125" style="1" customWidth="1"/>
    <col min="13333" max="13569" width="8.85546875" style="1"/>
    <col min="13570" max="13570" width="9.28515625" style="1" customWidth="1"/>
    <col min="13571" max="13571" width="1.7109375" style="1" customWidth="1"/>
    <col min="13572" max="13575" width="12" style="1" customWidth="1"/>
    <col min="13576" max="13576" width="11.85546875" style="1" customWidth="1"/>
    <col min="13577" max="13577" width="10.7109375" style="1" customWidth="1"/>
    <col min="13578" max="13578" width="10.5703125" style="1" customWidth="1"/>
    <col min="13579" max="13579" width="1.140625" style="1" customWidth="1"/>
    <col min="13580" max="13580" width="11.28515625" style="1" customWidth="1"/>
    <col min="13581" max="13581" width="12.7109375" style="1" customWidth="1"/>
    <col min="13582" max="13582" width="11.5703125" style="1" customWidth="1"/>
    <col min="13583" max="13583" width="12.42578125" style="1" customWidth="1"/>
    <col min="13584" max="13584" width="1.5703125" style="1" customWidth="1"/>
    <col min="13585" max="13585" width="11.42578125" style="1" customWidth="1"/>
    <col min="13586" max="13586" width="12.140625" style="1" customWidth="1"/>
    <col min="13587" max="13587" width="1.7109375" style="1" customWidth="1"/>
    <col min="13588" max="13588" width="13.5703125" style="1" customWidth="1"/>
    <col min="13589" max="13825" width="8.85546875" style="1"/>
    <col min="13826" max="13826" width="9.28515625" style="1" customWidth="1"/>
    <col min="13827" max="13827" width="1.7109375" style="1" customWidth="1"/>
    <col min="13828" max="13831" width="12" style="1" customWidth="1"/>
    <col min="13832" max="13832" width="11.85546875" style="1" customWidth="1"/>
    <col min="13833" max="13833" width="10.7109375" style="1" customWidth="1"/>
    <col min="13834" max="13834" width="10.5703125" style="1" customWidth="1"/>
    <col min="13835" max="13835" width="1.140625" style="1" customWidth="1"/>
    <col min="13836" max="13836" width="11.28515625" style="1" customWidth="1"/>
    <col min="13837" max="13837" width="12.7109375" style="1" customWidth="1"/>
    <col min="13838" max="13838" width="11.5703125" style="1" customWidth="1"/>
    <col min="13839" max="13839" width="12.42578125" style="1" customWidth="1"/>
    <col min="13840" max="13840" width="1.5703125" style="1" customWidth="1"/>
    <col min="13841" max="13841" width="11.42578125" style="1" customWidth="1"/>
    <col min="13842" max="13842" width="12.140625" style="1" customWidth="1"/>
    <col min="13843" max="13843" width="1.7109375" style="1" customWidth="1"/>
    <col min="13844" max="13844" width="13.5703125" style="1" customWidth="1"/>
    <col min="13845" max="14081" width="8.85546875" style="1"/>
    <col min="14082" max="14082" width="9.28515625" style="1" customWidth="1"/>
    <col min="14083" max="14083" width="1.7109375" style="1" customWidth="1"/>
    <col min="14084" max="14087" width="12" style="1" customWidth="1"/>
    <col min="14088" max="14088" width="11.85546875" style="1" customWidth="1"/>
    <col min="14089" max="14089" width="10.7109375" style="1" customWidth="1"/>
    <col min="14090" max="14090" width="10.5703125" style="1" customWidth="1"/>
    <col min="14091" max="14091" width="1.140625" style="1" customWidth="1"/>
    <col min="14092" max="14092" width="11.28515625" style="1" customWidth="1"/>
    <col min="14093" max="14093" width="12.7109375" style="1" customWidth="1"/>
    <col min="14094" max="14094" width="11.5703125" style="1" customWidth="1"/>
    <col min="14095" max="14095" width="12.42578125" style="1" customWidth="1"/>
    <col min="14096" max="14096" width="1.5703125" style="1" customWidth="1"/>
    <col min="14097" max="14097" width="11.42578125" style="1" customWidth="1"/>
    <col min="14098" max="14098" width="12.140625" style="1" customWidth="1"/>
    <col min="14099" max="14099" width="1.7109375" style="1" customWidth="1"/>
    <col min="14100" max="14100" width="13.5703125" style="1" customWidth="1"/>
    <col min="14101" max="14337" width="8.85546875" style="1"/>
    <col min="14338" max="14338" width="9.28515625" style="1" customWidth="1"/>
    <col min="14339" max="14339" width="1.7109375" style="1" customWidth="1"/>
    <col min="14340" max="14343" width="12" style="1" customWidth="1"/>
    <col min="14344" max="14344" width="11.85546875" style="1" customWidth="1"/>
    <col min="14345" max="14345" width="10.7109375" style="1" customWidth="1"/>
    <col min="14346" max="14346" width="10.5703125" style="1" customWidth="1"/>
    <col min="14347" max="14347" width="1.140625" style="1" customWidth="1"/>
    <col min="14348" max="14348" width="11.28515625" style="1" customWidth="1"/>
    <col min="14349" max="14349" width="12.7109375" style="1" customWidth="1"/>
    <col min="14350" max="14350" width="11.5703125" style="1" customWidth="1"/>
    <col min="14351" max="14351" width="12.42578125" style="1" customWidth="1"/>
    <col min="14352" max="14352" width="1.5703125" style="1" customWidth="1"/>
    <col min="14353" max="14353" width="11.42578125" style="1" customWidth="1"/>
    <col min="14354" max="14354" width="12.140625" style="1" customWidth="1"/>
    <col min="14355" max="14355" width="1.7109375" style="1" customWidth="1"/>
    <col min="14356" max="14356" width="13.5703125" style="1" customWidth="1"/>
    <col min="14357" max="14593" width="8.85546875" style="1"/>
    <col min="14594" max="14594" width="9.28515625" style="1" customWidth="1"/>
    <col min="14595" max="14595" width="1.7109375" style="1" customWidth="1"/>
    <col min="14596" max="14599" width="12" style="1" customWidth="1"/>
    <col min="14600" max="14600" width="11.85546875" style="1" customWidth="1"/>
    <col min="14601" max="14601" width="10.7109375" style="1" customWidth="1"/>
    <col min="14602" max="14602" width="10.5703125" style="1" customWidth="1"/>
    <col min="14603" max="14603" width="1.140625" style="1" customWidth="1"/>
    <col min="14604" max="14604" width="11.28515625" style="1" customWidth="1"/>
    <col min="14605" max="14605" width="12.7109375" style="1" customWidth="1"/>
    <col min="14606" max="14606" width="11.5703125" style="1" customWidth="1"/>
    <col min="14607" max="14607" width="12.42578125" style="1" customWidth="1"/>
    <col min="14608" max="14608" width="1.5703125" style="1" customWidth="1"/>
    <col min="14609" max="14609" width="11.42578125" style="1" customWidth="1"/>
    <col min="14610" max="14610" width="12.140625" style="1" customWidth="1"/>
    <col min="14611" max="14611" width="1.7109375" style="1" customWidth="1"/>
    <col min="14612" max="14612" width="13.5703125" style="1" customWidth="1"/>
    <col min="14613" max="14849" width="8.85546875" style="1"/>
    <col min="14850" max="14850" width="9.28515625" style="1" customWidth="1"/>
    <col min="14851" max="14851" width="1.7109375" style="1" customWidth="1"/>
    <col min="14852" max="14855" width="12" style="1" customWidth="1"/>
    <col min="14856" max="14856" width="11.85546875" style="1" customWidth="1"/>
    <col min="14857" max="14857" width="10.7109375" style="1" customWidth="1"/>
    <col min="14858" max="14858" width="10.5703125" style="1" customWidth="1"/>
    <col min="14859" max="14859" width="1.140625" style="1" customWidth="1"/>
    <col min="14860" max="14860" width="11.28515625" style="1" customWidth="1"/>
    <col min="14861" max="14861" width="12.7109375" style="1" customWidth="1"/>
    <col min="14862" max="14862" width="11.5703125" style="1" customWidth="1"/>
    <col min="14863" max="14863" width="12.42578125" style="1" customWidth="1"/>
    <col min="14864" max="14864" width="1.5703125" style="1" customWidth="1"/>
    <col min="14865" max="14865" width="11.42578125" style="1" customWidth="1"/>
    <col min="14866" max="14866" width="12.140625" style="1" customWidth="1"/>
    <col min="14867" max="14867" width="1.7109375" style="1" customWidth="1"/>
    <col min="14868" max="14868" width="13.5703125" style="1" customWidth="1"/>
    <col min="14869" max="15105" width="8.85546875" style="1"/>
    <col min="15106" max="15106" width="9.28515625" style="1" customWidth="1"/>
    <col min="15107" max="15107" width="1.7109375" style="1" customWidth="1"/>
    <col min="15108" max="15111" width="12" style="1" customWidth="1"/>
    <col min="15112" max="15112" width="11.85546875" style="1" customWidth="1"/>
    <col min="15113" max="15113" width="10.7109375" style="1" customWidth="1"/>
    <col min="15114" max="15114" width="10.5703125" style="1" customWidth="1"/>
    <col min="15115" max="15115" width="1.140625" style="1" customWidth="1"/>
    <col min="15116" max="15116" width="11.28515625" style="1" customWidth="1"/>
    <col min="15117" max="15117" width="12.7109375" style="1" customWidth="1"/>
    <col min="15118" max="15118" width="11.5703125" style="1" customWidth="1"/>
    <col min="15119" max="15119" width="12.42578125" style="1" customWidth="1"/>
    <col min="15120" max="15120" width="1.5703125" style="1" customWidth="1"/>
    <col min="15121" max="15121" width="11.42578125" style="1" customWidth="1"/>
    <col min="15122" max="15122" width="12.140625" style="1" customWidth="1"/>
    <col min="15123" max="15123" width="1.7109375" style="1" customWidth="1"/>
    <col min="15124" max="15124" width="13.5703125" style="1" customWidth="1"/>
    <col min="15125" max="15361" width="8.85546875" style="1"/>
    <col min="15362" max="15362" width="9.28515625" style="1" customWidth="1"/>
    <col min="15363" max="15363" width="1.7109375" style="1" customWidth="1"/>
    <col min="15364" max="15367" width="12" style="1" customWidth="1"/>
    <col min="15368" max="15368" width="11.85546875" style="1" customWidth="1"/>
    <col min="15369" max="15369" width="10.7109375" style="1" customWidth="1"/>
    <col min="15370" max="15370" width="10.5703125" style="1" customWidth="1"/>
    <col min="15371" max="15371" width="1.140625" style="1" customWidth="1"/>
    <col min="15372" max="15372" width="11.28515625" style="1" customWidth="1"/>
    <col min="15373" max="15373" width="12.7109375" style="1" customWidth="1"/>
    <col min="15374" max="15374" width="11.5703125" style="1" customWidth="1"/>
    <col min="15375" max="15375" width="12.42578125" style="1" customWidth="1"/>
    <col min="15376" max="15376" width="1.5703125" style="1" customWidth="1"/>
    <col min="15377" max="15377" width="11.42578125" style="1" customWidth="1"/>
    <col min="15378" max="15378" width="12.140625" style="1" customWidth="1"/>
    <col min="15379" max="15379" width="1.7109375" style="1" customWidth="1"/>
    <col min="15380" max="15380" width="13.5703125" style="1" customWidth="1"/>
    <col min="15381" max="15617" width="8.85546875" style="1"/>
    <col min="15618" max="15618" width="9.28515625" style="1" customWidth="1"/>
    <col min="15619" max="15619" width="1.7109375" style="1" customWidth="1"/>
    <col min="15620" max="15623" width="12" style="1" customWidth="1"/>
    <col min="15624" max="15624" width="11.85546875" style="1" customWidth="1"/>
    <col min="15625" max="15625" width="10.7109375" style="1" customWidth="1"/>
    <col min="15626" max="15626" width="10.5703125" style="1" customWidth="1"/>
    <col min="15627" max="15627" width="1.140625" style="1" customWidth="1"/>
    <col min="15628" max="15628" width="11.28515625" style="1" customWidth="1"/>
    <col min="15629" max="15629" width="12.7109375" style="1" customWidth="1"/>
    <col min="15630" max="15630" width="11.5703125" style="1" customWidth="1"/>
    <col min="15631" max="15631" width="12.42578125" style="1" customWidth="1"/>
    <col min="15632" max="15632" width="1.5703125" style="1" customWidth="1"/>
    <col min="15633" max="15633" width="11.42578125" style="1" customWidth="1"/>
    <col min="15634" max="15634" width="12.140625" style="1" customWidth="1"/>
    <col min="15635" max="15635" width="1.7109375" style="1" customWidth="1"/>
    <col min="15636" max="15636" width="13.5703125" style="1" customWidth="1"/>
    <col min="15637" max="15873" width="8.85546875" style="1"/>
    <col min="15874" max="15874" width="9.28515625" style="1" customWidth="1"/>
    <col min="15875" max="15875" width="1.7109375" style="1" customWidth="1"/>
    <col min="15876" max="15879" width="12" style="1" customWidth="1"/>
    <col min="15880" max="15880" width="11.85546875" style="1" customWidth="1"/>
    <col min="15881" max="15881" width="10.7109375" style="1" customWidth="1"/>
    <col min="15882" max="15882" width="10.5703125" style="1" customWidth="1"/>
    <col min="15883" max="15883" width="1.140625" style="1" customWidth="1"/>
    <col min="15884" max="15884" width="11.28515625" style="1" customWidth="1"/>
    <col min="15885" max="15885" width="12.7109375" style="1" customWidth="1"/>
    <col min="15886" max="15886" width="11.5703125" style="1" customWidth="1"/>
    <col min="15887" max="15887" width="12.42578125" style="1" customWidth="1"/>
    <col min="15888" max="15888" width="1.5703125" style="1" customWidth="1"/>
    <col min="15889" max="15889" width="11.42578125" style="1" customWidth="1"/>
    <col min="15890" max="15890" width="12.140625" style="1" customWidth="1"/>
    <col min="15891" max="15891" width="1.7109375" style="1" customWidth="1"/>
    <col min="15892" max="15892" width="13.5703125" style="1" customWidth="1"/>
    <col min="15893" max="16129" width="8.85546875" style="1"/>
    <col min="16130" max="16130" width="9.28515625" style="1" customWidth="1"/>
    <col min="16131" max="16131" width="1.7109375" style="1" customWidth="1"/>
    <col min="16132" max="16135" width="12" style="1" customWidth="1"/>
    <col min="16136" max="16136" width="11.85546875" style="1" customWidth="1"/>
    <col min="16137" max="16137" width="10.7109375" style="1" customWidth="1"/>
    <col min="16138" max="16138" width="10.5703125" style="1" customWidth="1"/>
    <col min="16139" max="16139" width="1.140625" style="1" customWidth="1"/>
    <col min="16140" max="16140" width="11.28515625" style="1" customWidth="1"/>
    <col min="16141" max="16141" width="12.7109375" style="1" customWidth="1"/>
    <col min="16142" max="16142" width="11.5703125" style="1" customWidth="1"/>
    <col min="16143" max="16143" width="12.42578125" style="1" customWidth="1"/>
    <col min="16144" max="16144" width="1.5703125" style="1" customWidth="1"/>
    <col min="16145" max="16145" width="11.42578125" style="1" customWidth="1"/>
    <col min="16146" max="16146" width="12.140625" style="1" customWidth="1"/>
    <col min="16147" max="16147" width="1.7109375" style="1" customWidth="1"/>
    <col min="16148" max="16148" width="13.5703125" style="1" customWidth="1"/>
    <col min="16149" max="16384" width="8.85546875" style="1"/>
  </cols>
  <sheetData>
    <row r="1" spans="1:21" ht="18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1" ht="15.75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1" s="2" customFormat="1" ht="15.75" x14ac:dyDescent="0.25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1" s="3" customFormat="1" ht="14.25" customHeight="1" x14ac:dyDescent="0.25">
      <c r="A4" s="98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1" s="3" customForma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/>
    </row>
    <row r="6" spans="1:21" s="2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</row>
    <row r="8" spans="1:21" s="9" customFormat="1" ht="14.25" customHeight="1" x14ac:dyDescent="0.25">
      <c r="A8" s="93" t="s">
        <v>62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</row>
    <row r="9" spans="1:21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8"/>
      <c r="J9" s="7"/>
      <c r="K9" s="7"/>
      <c r="L9" s="7"/>
      <c r="M9" s="7"/>
      <c r="N9" s="7"/>
      <c r="O9" s="7"/>
      <c r="P9" s="7"/>
      <c r="Q9" s="7"/>
      <c r="R9" s="7"/>
    </row>
    <row r="10" spans="1:21" s="14" customFormat="1" ht="12.75" x14ac:dyDescent="0.2">
      <c r="A10" s="10"/>
      <c r="B10" s="10"/>
      <c r="C10" s="102" t="s">
        <v>6</v>
      </c>
      <c r="D10" s="103"/>
      <c r="E10" s="103"/>
      <c r="F10" s="103"/>
      <c r="G10" s="103"/>
      <c r="H10" s="103"/>
      <c r="I10" s="103"/>
      <c r="J10" s="104"/>
      <c r="K10" s="12"/>
      <c r="L10" s="102" t="s">
        <v>7</v>
      </c>
      <c r="M10" s="103"/>
      <c r="N10" s="103"/>
      <c r="O10" s="104"/>
      <c r="P10" s="13"/>
      <c r="Q10" s="102" t="s">
        <v>8</v>
      </c>
      <c r="R10" s="104"/>
    </row>
    <row r="11" spans="1:21" s="19" customFormat="1" ht="12" x14ac:dyDescent="0.2">
      <c r="A11" s="15"/>
      <c r="B11" s="15"/>
      <c r="C11" s="16"/>
      <c r="D11" s="17" t="s">
        <v>9</v>
      </c>
      <c r="E11" s="16"/>
      <c r="F11" s="16"/>
      <c r="G11" s="16"/>
      <c r="H11" s="17" t="s">
        <v>11</v>
      </c>
      <c r="I11" s="18" t="s">
        <v>10</v>
      </c>
      <c r="J11" s="16"/>
      <c r="K11" s="16"/>
      <c r="L11" s="17" t="s">
        <v>11</v>
      </c>
      <c r="M11" s="17"/>
      <c r="N11" s="17" t="s">
        <v>9</v>
      </c>
      <c r="O11" s="17" t="s">
        <v>11</v>
      </c>
      <c r="Q11" s="17" t="s">
        <v>11</v>
      </c>
      <c r="R11" s="17" t="s">
        <v>11</v>
      </c>
      <c r="T11" s="17" t="s">
        <v>11</v>
      </c>
    </row>
    <row r="12" spans="1:21" s="22" customFormat="1" ht="12" x14ac:dyDescent="0.2">
      <c r="A12" s="20"/>
      <c r="B12" s="20"/>
      <c r="C12" s="17" t="s">
        <v>12</v>
      </c>
      <c r="D12" s="21" t="s">
        <v>13</v>
      </c>
      <c r="E12" s="17" t="s">
        <v>12</v>
      </c>
      <c r="F12" s="17" t="s">
        <v>63</v>
      </c>
      <c r="G12" s="17"/>
      <c r="H12" s="17" t="s">
        <v>14</v>
      </c>
      <c r="I12" s="18" t="s">
        <v>15</v>
      </c>
      <c r="J12" s="17" t="s">
        <v>16</v>
      </c>
      <c r="K12" s="17"/>
      <c r="L12" s="22" t="s">
        <v>10</v>
      </c>
      <c r="M12" s="17" t="s">
        <v>17</v>
      </c>
      <c r="N12" s="17" t="s">
        <v>17</v>
      </c>
      <c r="O12" s="17" t="s">
        <v>17</v>
      </c>
      <c r="Q12" s="22" t="s">
        <v>10</v>
      </c>
      <c r="R12" s="17" t="s">
        <v>18</v>
      </c>
      <c r="T12" s="17" t="s">
        <v>11</v>
      </c>
    </row>
    <row r="13" spans="1:21" s="22" customFormat="1" ht="12" x14ac:dyDescent="0.2">
      <c r="A13" s="23" t="s">
        <v>19</v>
      </c>
      <c r="B13" s="23"/>
      <c r="C13" s="24" t="s">
        <v>20</v>
      </c>
      <c r="D13" s="24" t="s">
        <v>12</v>
      </c>
      <c r="E13" s="24" t="s">
        <v>21</v>
      </c>
      <c r="F13" s="24" t="s">
        <v>64</v>
      </c>
      <c r="G13" s="24"/>
      <c r="H13" s="24" t="s">
        <v>22</v>
      </c>
      <c r="I13" s="25" t="s">
        <v>23</v>
      </c>
      <c r="J13" s="24" t="s">
        <v>24</v>
      </c>
      <c r="K13" s="21"/>
      <c r="L13" s="24" t="s">
        <v>25</v>
      </c>
      <c r="M13" s="24" t="s">
        <v>26</v>
      </c>
      <c r="N13" s="24" t="s">
        <v>12</v>
      </c>
      <c r="O13" s="24" t="s">
        <v>22</v>
      </c>
      <c r="P13" s="26"/>
      <c r="Q13" s="24" t="s">
        <v>8</v>
      </c>
      <c r="R13" s="24" t="s">
        <v>22</v>
      </c>
      <c r="T13" s="24" t="s">
        <v>27</v>
      </c>
    </row>
    <row r="14" spans="1:21" x14ac:dyDescent="0.25">
      <c r="A14" s="5">
        <v>42826</v>
      </c>
      <c r="C14" s="27"/>
      <c r="D14" s="27"/>
      <c r="E14" s="27"/>
      <c r="F14" s="27"/>
      <c r="G14" s="27"/>
      <c r="H14" s="27"/>
      <c r="I14" s="32"/>
      <c r="J14" s="27"/>
      <c r="L14" s="30"/>
      <c r="M14" s="27"/>
      <c r="N14" s="27"/>
      <c r="O14" s="27"/>
      <c r="Q14" s="31"/>
      <c r="T14" s="27"/>
    </row>
    <row r="15" spans="1:21" x14ac:dyDescent="0.25">
      <c r="A15" s="5">
        <v>42856</v>
      </c>
      <c r="C15" s="27"/>
      <c r="D15" s="27"/>
      <c r="E15" s="27"/>
      <c r="F15" s="27"/>
      <c r="G15" s="27"/>
      <c r="H15" s="27"/>
      <c r="I15" s="32"/>
      <c r="J15" s="27"/>
      <c r="K15" s="32"/>
      <c r="L15" s="32"/>
      <c r="M15" s="27"/>
      <c r="N15" s="27"/>
      <c r="O15" s="27"/>
      <c r="P15" s="32"/>
      <c r="Q15" s="31"/>
      <c r="S15" s="32"/>
      <c r="T15" s="27"/>
    </row>
    <row r="16" spans="1:21" x14ac:dyDescent="0.25">
      <c r="A16" s="5">
        <v>42887</v>
      </c>
      <c r="C16" s="27"/>
      <c r="D16" s="27"/>
      <c r="E16" s="27"/>
      <c r="F16" s="27"/>
      <c r="G16" s="27"/>
      <c r="H16" s="27"/>
      <c r="I16" s="32"/>
      <c r="J16" s="27"/>
      <c r="K16" s="32"/>
      <c r="L16" s="32"/>
      <c r="M16" s="27"/>
      <c r="N16" s="27"/>
      <c r="O16" s="27"/>
      <c r="P16" s="32"/>
      <c r="Q16" s="31"/>
      <c r="S16" s="32"/>
      <c r="T16" s="27"/>
    </row>
    <row r="17" spans="1:20" x14ac:dyDescent="0.25">
      <c r="A17" s="5">
        <v>42917</v>
      </c>
      <c r="C17" s="27"/>
      <c r="D17" s="27"/>
      <c r="E17" s="27"/>
      <c r="F17" s="27"/>
      <c r="G17" s="33"/>
      <c r="H17" s="27"/>
      <c r="I17" s="32"/>
      <c r="J17" s="27"/>
      <c r="K17" s="33"/>
      <c r="L17" s="32"/>
      <c r="M17" s="27"/>
      <c r="N17" s="27"/>
      <c r="O17" s="27"/>
      <c r="P17" s="33"/>
      <c r="Q17" s="31"/>
      <c r="S17" s="33"/>
      <c r="T17" s="27"/>
    </row>
    <row r="18" spans="1:20" x14ac:dyDescent="0.25">
      <c r="A18" s="5">
        <v>42948</v>
      </c>
      <c r="C18" s="27"/>
      <c r="D18" s="27"/>
      <c r="E18" s="27"/>
      <c r="F18" s="27"/>
      <c r="G18" s="33"/>
      <c r="H18" s="27"/>
      <c r="I18" s="32"/>
      <c r="J18" s="27"/>
      <c r="K18" s="33"/>
      <c r="L18" s="32"/>
      <c r="M18" s="27"/>
      <c r="N18" s="27"/>
      <c r="O18" s="27"/>
      <c r="P18" s="33"/>
      <c r="Q18" s="31"/>
      <c r="S18" s="33"/>
      <c r="T18" s="27"/>
    </row>
    <row r="19" spans="1:20" x14ac:dyDescent="0.25">
      <c r="A19" s="5">
        <v>42979</v>
      </c>
      <c r="C19" s="27"/>
      <c r="D19" s="27"/>
      <c r="E19" s="27"/>
      <c r="F19" s="27"/>
      <c r="G19" s="33"/>
      <c r="H19" s="27"/>
      <c r="I19" s="32"/>
      <c r="J19" s="27"/>
      <c r="K19" s="33"/>
      <c r="L19" s="32"/>
      <c r="M19" s="27"/>
      <c r="N19" s="27"/>
      <c r="O19" s="27"/>
      <c r="P19" s="33"/>
      <c r="Q19" s="31"/>
      <c r="S19" s="33"/>
      <c r="T19" s="27"/>
    </row>
    <row r="20" spans="1:20" x14ac:dyDescent="0.25">
      <c r="A20" s="5">
        <v>43009</v>
      </c>
      <c r="C20" s="27"/>
      <c r="D20" s="27"/>
      <c r="E20" s="27"/>
      <c r="F20" s="27"/>
      <c r="G20" s="33"/>
      <c r="H20" s="27"/>
      <c r="I20" s="32"/>
      <c r="J20" s="27"/>
      <c r="K20" s="33"/>
      <c r="L20" s="32"/>
      <c r="M20" s="27"/>
      <c r="N20" s="27"/>
      <c r="O20" s="27"/>
      <c r="P20" s="33"/>
      <c r="Q20" s="31"/>
      <c r="S20" s="33"/>
      <c r="T20" s="27"/>
    </row>
    <row r="21" spans="1:20" x14ac:dyDescent="0.25">
      <c r="A21" s="5">
        <v>43040</v>
      </c>
      <c r="C21" s="27"/>
      <c r="D21" s="27"/>
      <c r="E21" s="27"/>
      <c r="F21" s="27"/>
      <c r="G21" s="33"/>
      <c r="H21" s="27"/>
      <c r="I21" s="32"/>
      <c r="J21" s="27"/>
      <c r="K21" s="33"/>
      <c r="L21" s="32"/>
      <c r="M21" s="27"/>
      <c r="N21" s="27"/>
      <c r="O21" s="27"/>
      <c r="P21" s="33"/>
      <c r="Q21" s="31"/>
      <c r="S21" s="33"/>
      <c r="T21" s="27"/>
    </row>
    <row r="22" spans="1:20" x14ac:dyDescent="0.25">
      <c r="A22" s="5">
        <v>43070</v>
      </c>
      <c r="C22" s="27"/>
      <c r="D22" s="27"/>
      <c r="E22" s="27"/>
      <c r="F22" s="27"/>
      <c r="G22" s="33"/>
      <c r="H22" s="27"/>
      <c r="I22" s="33"/>
      <c r="J22" s="27"/>
      <c r="K22" s="33"/>
      <c r="L22" s="33"/>
      <c r="M22" s="27"/>
      <c r="N22" s="27"/>
      <c r="O22" s="27"/>
      <c r="P22" s="33"/>
      <c r="Q22" s="33"/>
      <c r="S22" s="33"/>
      <c r="T22" s="27"/>
    </row>
    <row r="23" spans="1:20" x14ac:dyDescent="0.25">
      <c r="A23" s="5">
        <v>43101</v>
      </c>
      <c r="C23" s="27"/>
      <c r="D23" s="27"/>
      <c r="E23" s="27"/>
      <c r="F23" s="27"/>
      <c r="G23" s="33"/>
      <c r="H23" s="27"/>
      <c r="I23" s="33"/>
      <c r="J23" s="27"/>
      <c r="K23" s="33"/>
      <c r="L23" s="33"/>
      <c r="M23" s="27"/>
      <c r="N23" s="27"/>
      <c r="O23" s="27"/>
      <c r="P23" s="33"/>
      <c r="Q23" s="33"/>
      <c r="S23" s="33"/>
      <c r="T23" s="27"/>
    </row>
    <row r="24" spans="1:20" x14ac:dyDescent="0.25">
      <c r="A24" s="5">
        <v>43132</v>
      </c>
      <c r="C24" s="27">
        <v>105694492.42999999</v>
      </c>
      <c r="D24" s="27">
        <v>3525611.2399999993</v>
      </c>
      <c r="E24" s="27">
        <v>96380832.199999988</v>
      </c>
      <c r="F24" s="27">
        <v>0</v>
      </c>
      <c r="G24" s="33"/>
      <c r="H24" s="27">
        <v>5788048.990000003</v>
      </c>
      <c r="I24" s="28">
        <v>2151</v>
      </c>
      <c r="J24" s="27">
        <v>116.98956521739136</v>
      </c>
      <c r="K24" s="33"/>
      <c r="L24" s="32">
        <v>112</v>
      </c>
      <c r="M24" s="27">
        <v>25884967.759999998</v>
      </c>
      <c r="N24" s="27">
        <v>0</v>
      </c>
      <c r="O24" s="27">
        <v>3231407.26</v>
      </c>
      <c r="P24" s="33"/>
      <c r="Q24" s="32">
        <v>0</v>
      </c>
      <c r="R24" s="29">
        <v>0</v>
      </c>
      <c r="S24" s="33"/>
      <c r="T24" s="27">
        <v>9019456.2500000037</v>
      </c>
    </row>
    <row r="25" spans="1:20" x14ac:dyDescent="0.25">
      <c r="A25" s="5">
        <v>43160</v>
      </c>
      <c r="C25" s="27">
        <v>101412164.38000003</v>
      </c>
      <c r="D25" s="27">
        <v>2907377.5199999996</v>
      </c>
      <c r="E25" s="27">
        <v>92299909.079999983</v>
      </c>
      <c r="F25" s="27">
        <v>0</v>
      </c>
      <c r="G25" s="33"/>
      <c r="H25" s="27">
        <v>6204877.7800000003</v>
      </c>
      <c r="I25" s="28">
        <v>2151</v>
      </c>
      <c r="J25" s="27">
        <v>93.053160270541838</v>
      </c>
      <c r="K25" s="33"/>
      <c r="L25" s="32">
        <v>112</v>
      </c>
      <c r="M25" s="27">
        <v>33113301</v>
      </c>
      <c r="N25" s="27">
        <v>0</v>
      </c>
      <c r="O25" s="27">
        <v>5771285.25</v>
      </c>
      <c r="P25" s="33"/>
      <c r="Q25" s="32">
        <v>19</v>
      </c>
      <c r="R25" s="29">
        <v>428531</v>
      </c>
      <c r="S25" s="33"/>
      <c r="T25" s="27">
        <v>12404694.030000001</v>
      </c>
    </row>
    <row r="26" spans="1:20" ht="15.75" thickBot="1" x14ac:dyDescent="0.3">
      <c r="A26" s="5" t="s">
        <v>28</v>
      </c>
      <c r="C26" s="34">
        <v>207106656.81</v>
      </c>
      <c r="D26" s="34">
        <v>6432988.7599999988</v>
      </c>
      <c r="E26" s="34">
        <v>188680741.27999997</v>
      </c>
      <c r="F26" s="34">
        <v>0</v>
      </c>
      <c r="G26" s="34"/>
      <c r="H26" s="34">
        <v>11992926.770000003</v>
      </c>
      <c r="I26" s="35">
        <v>2151</v>
      </c>
      <c r="J26" s="34">
        <v>103</v>
      </c>
      <c r="K26" s="27"/>
      <c r="L26" s="37">
        <v>112</v>
      </c>
      <c r="M26" s="34">
        <v>58998268.759999998</v>
      </c>
      <c r="N26" s="34">
        <v>0</v>
      </c>
      <c r="O26" s="34">
        <v>9002692.5099999998</v>
      </c>
      <c r="P26" s="36"/>
      <c r="Q26" s="38">
        <v>19</v>
      </c>
      <c r="R26" s="34">
        <v>428531</v>
      </c>
      <c r="S26" s="36"/>
      <c r="T26" s="34">
        <v>21424150.280000005</v>
      </c>
    </row>
    <row r="27" spans="1:20" ht="10.5" customHeight="1" thickTop="1" x14ac:dyDescent="0.25">
      <c r="C27" s="39"/>
      <c r="D27" s="39"/>
      <c r="E27" s="39"/>
      <c r="F27" s="39"/>
      <c r="G27" s="39"/>
      <c r="H27" s="39"/>
      <c r="L27" s="40"/>
      <c r="M27" s="39"/>
      <c r="N27" s="39"/>
      <c r="O27" s="39"/>
      <c r="P27" s="39"/>
      <c r="Q27" s="40"/>
      <c r="R27" s="39"/>
    </row>
    <row r="28" spans="1:20" s="44" customFormat="1" x14ac:dyDescent="0.25">
      <c r="A28" s="41"/>
      <c r="B28" s="41"/>
      <c r="C28" s="42"/>
      <c r="D28" s="43">
        <v>3.1061236075582224E-2</v>
      </c>
      <c r="E28" s="43">
        <v>0.91103175622740129</v>
      </c>
      <c r="F28" s="43">
        <v>0</v>
      </c>
      <c r="G28" s="43"/>
      <c r="H28" s="42">
        <v>5.7907007697016392E-2</v>
      </c>
      <c r="L28" s="42"/>
      <c r="M28" s="42"/>
      <c r="N28" s="42"/>
      <c r="O28" s="42">
        <v>0.15259248617314852</v>
      </c>
      <c r="P28" s="42"/>
      <c r="Q28" s="42"/>
      <c r="R28" s="42"/>
    </row>
    <row r="29" spans="1:20" s="44" customFormat="1" x14ac:dyDescent="0.25">
      <c r="A29" s="41"/>
      <c r="B29" s="41"/>
      <c r="C29" s="42"/>
      <c r="D29" s="42"/>
      <c r="E29" s="42"/>
      <c r="F29" s="42"/>
      <c r="G29" s="42"/>
      <c r="H29" s="42"/>
      <c r="L29" s="42"/>
      <c r="M29" s="42"/>
      <c r="N29" s="42"/>
      <c r="O29" s="42"/>
      <c r="P29" s="42"/>
      <c r="Q29" s="42"/>
      <c r="R29" s="42"/>
    </row>
    <row r="30" spans="1:20" s="44" customFormat="1" x14ac:dyDescent="0.25">
      <c r="A30" s="93" t="s">
        <v>29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5"/>
    </row>
    <row r="31" spans="1:20" s="46" customForma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20" s="46" customFormat="1" x14ac:dyDescent="0.25">
      <c r="A32" s="45"/>
      <c r="B32" s="45"/>
      <c r="C32" s="45"/>
      <c r="D32" s="45"/>
      <c r="E32" s="45"/>
      <c r="F32" s="45"/>
      <c r="G32" s="45"/>
      <c r="H32" s="107" t="s">
        <v>30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47"/>
      <c r="T32" s="45"/>
    </row>
    <row r="33" spans="1:20" s="48" customFormat="1" ht="12" x14ac:dyDescent="0.2">
      <c r="F33" s="48" t="s">
        <v>31</v>
      </c>
      <c r="H33" s="49" t="s">
        <v>32</v>
      </c>
      <c r="I33" s="49" t="s">
        <v>33</v>
      </c>
      <c r="J33" s="49" t="s">
        <v>34</v>
      </c>
      <c r="K33" s="50"/>
      <c r="L33" s="50"/>
      <c r="M33" s="51"/>
      <c r="N33" s="51"/>
      <c r="O33" s="51"/>
      <c r="P33" s="51"/>
      <c r="Q33" s="51"/>
      <c r="R33" s="52"/>
    </row>
    <row r="34" spans="1:20" s="48" customFormat="1" ht="12.75" customHeight="1" x14ac:dyDescent="0.2">
      <c r="D34" s="17" t="s">
        <v>35</v>
      </c>
      <c r="E34" s="48" t="s">
        <v>11</v>
      </c>
      <c r="F34" s="48" t="s">
        <v>37</v>
      </c>
      <c r="H34" s="49" t="s">
        <v>38</v>
      </c>
      <c r="I34" s="49" t="s">
        <v>39</v>
      </c>
      <c r="J34" s="49" t="s">
        <v>40</v>
      </c>
      <c r="K34" s="50"/>
      <c r="L34" s="101" t="s">
        <v>41</v>
      </c>
      <c r="M34" s="101"/>
      <c r="N34" s="101"/>
      <c r="O34" s="101"/>
      <c r="P34" s="101"/>
      <c r="Q34" s="101"/>
      <c r="R34" s="101"/>
      <c r="S34" s="51"/>
      <c r="T34" s="51"/>
    </row>
    <row r="35" spans="1:20" s="48" customFormat="1" ht="12" x14ac:dyDescent="0.2">
      <c r="C35" s="24" t="s">
        <v>27</v>
      </c>
      <c r="D35" s="24" t="s">
        <v>42</v>
      </c>
      <c r="E35" s="53" t="s">
        <v>43</v>
      </c>
      <c r="F35" s="53" t="s">
        <v>45</v>
      </c>
      <c r="G35" s="52"/>
      <c r="H35" s="54" t="s">
        <v>46</v>
      </c>
      <c r="I35" s="54" t="s">
        <v>47</v>
      </c>
      <c r="J35" s="54" t="s">
        <v>48</v>
      </c>
      <c r="K35" s="55"/>
      <c r="L35" s="55" t="s">
        <v>49</v>
      </c>
      <c r="M35" s="55" t="s">
        <v>50</v>
      </c>
      <c r="N35" s="55" t="s">
        <v>51</v>
      </c>
      <c r="O35" s="55" t="s">
        <v>52</v>
      </c>
      <c r="P35" s="56"/>
      <c r="Q35" s="55" t="s">
        <v>53</v>
      </c>
      <c r="R35" s="57" t="s">
        <v>54</v>
      </c>
      <c r="S35" s="52"/>
    </row>
    <row r="36" spans="1:20" s="44" customFormat="1" x14ac:dyDescent="0.25">
      <c r="A36" s="5">
        <v>42826</v>
      </c>
      <c r="B36" s="41"/>
      <c r="C36" s="60">
        <v>0</v>
      </c>
      <c r="D36" s="60">
        <v>0</v>
      </c>
      <c r="E36" s="60">
        <v>0</v>
      </c>
      <c r="F36" s="33">
        <v>0</v>
      </c>
      <c r="G36" s="33"/>
      <c r="H36" s="60">
        <v>0</v>
      </c>
      <c r="I36" s="60">
        <v>0</v>
      </c>
      <c r="J36" s="60">
        <v>0</v>
      </c>
      <c r="K36" s="33"/>
      <c r="L36" s="60">
        <v>0</v>
      </c>
      <c r="M36" s="60">
        <v>0</v>
      </c>
      <c r="N36" s="60">
        <v>0</v>
      </c>
      <c r="O36" s="60">
        <v>0</v>
      </c>
      <c r="P36" s="75"/>
      <c r="Q36" s="60">
        <v>0</v>
      </c>
      <c r="R36" s="60">
        <v>0</v>
      </c>
      <c r="S36" s="27"/>
    </row>
    <row r="37" spans="1:20" s="44" customFormat="1" x14ac:dyDescent="0.25">
      <c r="A37" s="5">
        <v>42856</v>
      </c>
      <c r="B37" s="41"/>
      <c r="C37" s="60">
        <v>0</v>
      </c>
      <c r="D37" s="60">
        <v>0</v>
      </c>
      <c r="E37" s="60">
        <v>0</v>
      </c>
      <c r="F37" s="33">
        <v>0</v>
      </c>
      <c r="G37" s="33"/>
      <c r="H37" s="60">
        <v>0</v>
      </c>
      <c r="I37" s="60">
        <v>0</v>
      </c>
      <c r="J37" s="60">
        <v>0</v>
      </c>
      <c r="K37" s="33"/>
      <c r="L37" s="60">
        <v>0</v>
      </c>
      <c r="M37" s="60">
        <v>0</v>
      </c>
      <c r="N37" s="60">
        <v>0</v>
      </c>
      <c r="O37" s="60">
        <v>0</v>
      </c>
      <c r="P37" s="60"/>
      <c r="Q37" s="60">
        <v>0</v>
      </c>
      <c r="R37" s="60">
        <v>0</v>
      </c>
      <c r="S37" s="27"/>
    </row>
    <row r="38" spans="1:20" s="44" customFormat="1" x14ac:dyDescent="0.25">
      <c r="A38" s="5">
        <v>42887</v>
      </c>
      <c r="B38" s="41"/>
      <c r="C38" s="60">
        <v>0</v>
      </c>
      <c r="D38" s="60">
        <v>0</v>
      </c>
      <c r="E38" s="60">
        <v>0</v>
      </c>
      <c r="F38" s="33">
        <v>0</v>
      </c>
      <c r="G38" s="33"/>
      <c r="H38" s="60">
        <v>0</v>
      </c>
      <c r="I38" s="60">
        <v>0</v>
      </c>
      <c r="J38" s="60">
        <v>0</v>
      </c>
      <c r="K38" s="33"/>
      <c r="L38" s="60">
        <v>0</v>
      </c>
      <c r="M38" s="60">
        <v>0</v>
      </c>
      <c r="N38" s="60">
        <v>0</v>
      </c>
      <c r="O38" s="60">
        <v>0</v>
      </c>
      <c r="P38" s="60"/>
      <c r="Q38" s="60">
        <v>0</v>
      </c>
      <c r="R38" s="60">
        <v>0</v>
      </c>
      <c r="S38" s="27"/>
    </row>
    <row r="39" spans="1:20" s="44" customFormat="1" x14ac:dyDescent="0.25">
      <c r="A39" s="5">
        <v>42917</v>
      </c>
      <c r="B39" s="41"/>
      <c r="C39" s="60">
        <v>0</v>
      </c>
      <c r="D39" s="60">
        <v>0</v>
      </c>
      <c r="E39" s="60">
        <v>0</v>
      </c>
      <c r="F39" s="33">
        <v>0</v>
      </c>
      <c r="G39" s="33"/>
      <c r="H39" s="60">
        <v>0</v>
      </c>
      <c r="I39" s="60">
        <v>0</v>
      </c>
      <c r="J39" s="60">
        <v>0</v>
      </c>
      <c r="K39" s="33"/>
      <c r="L39" s="60">
        <v>0</v>
      </c>
      <c r="M39" s="60">
        <v>0</v>
      </c>
      <c r="N39" s="60">
        <v>0</v>
      </c>
      <c r="O39" s="60">
        <v>0</v>
      </c>
      <c r="P39" s="60"/>
      <c r="Q39" s="60">
        <v>0</v>
      </c>
      <c r="R39" s="60">
        <v>0</v>
      </c>
      <c r="S39" s="27"/>
      <c r="T39" s="59"/>
    </row>
    <row r="40" spans="1:20" s="44" customFormat="1" x14ac:dyDescent="0.25">
      <c r="A40" s="5">
        <v>42948</v>
      </c>
      <c r="B40" s="41"/>
      <c r="C40" s="60">
        <v>0</v>
      </c>
      <c r="D40" s="60">
        <v>0</v>
      </c>
      <c r="E40" s="60">
        <v>0</v>
      </c>
      <c r="F40" s="33">
        <v>0</v>
      </c>
      <c r="G40" s="33"/>
      <c r="H40" s="60">
        <v>0</v>
      </c>
      <c r="I40" s="60">
        <v>0</v>
      </c>
      <c r="J40" s="60">
        <v>0</v>
      </c>
      <c r="K40" s="33"/>
      <c r="L40" s="60">
        <v>0</v>
      </c>
      <c r="M40" s="60">
        <v>0</v>
      </c>
      <c r="N40" s="60">
        <v>0</v>
      </c>
      <c r="O40" s="60">
        <v>0</v>
      </c>
      <c r="P40" s="60"/>
      <c r="Q40" s="60">
        <v>0</v>
      </c>
      <c r="R40" s="60">
        <v>0</v>
      </c>
      <c r="S40" s="27"/>
      <c r="T40" s="31"/>
    </row>
    <row r="41" spans="1:20" s="44" customFormat="1" x14ac:dyDescent="0.25">
      <c r="A41" s="5">
        <v>42979</v>
      </c>
      <c r="B41" s="41"/>
      <c r="C41" s="60">
        <v>0</v>
      </c>
      <c r="D41" s="60">
        <v>0</v>
      </c>
      <c r="E41" s="60">
        <v>0</v>
      </c>
      <c r="F41" s="33">
        <v>0</v>
      </c>
      <c r="G41" s="33"/>
      <c r="H41" s="60">
        <v>0</v>
      </c>
      <c r="I41" s="60">
        <v>0</v>
      </c>
      <c r="J41" s="60">
        <v>0</v>
      </c>
      <c r="K41" s="33"/>
      <c r="L41" s="60">
        <v>0</v>
      </c>
      <c r="M41" s="60">
        <v>0</v>
      </c>
      <c r="N41" s="60">
        <v>0</v>
      </c>
      <c r="O41" s="60">
        <v>0</v>
      </c>
      <c r="P41" s="60"/>
      <c r="Q41" s="60">
        <v>0</v>
      </c>
      <c r="R41" s="60">
        <v>0</v>
      </c>
      <c r="S41" s="27"/>
    </row>
    <row r="42" spans="1:20" s="44" customFormat="1" x14ac:dyDescent="0.25">
      <c r="A42" s="5">
        <v>43009</v>
      </c>
      <c r="B42" s="41"/>
      <c r="C42" s="60">
        <v>0</v>
      </c>
      <c r="D42" s="60">
        <v>0</v>
      </c>
      <c r="E42" s="60">
        <v>0</v>
      </c>
      <c r="F42" s="33">
        <v>0</v>
      </c>
      <c r="G42" s="33"/>
      <c r="H42" s="60">
        <v>0</v>
      </c>
      <c r="I42" s="60">
        <v>0</v>
      </c>
      <c r="J42" s="60">
        <v>0</v>
      </c>
      <c r="K42" s="33"/>
      <c r="L42" s="60">
        <v>0</v>
      </c>
      <c r="M42" s="60">
        <v>0</v>
      </c>
      <c r="N42" s="60">
        <v>0</v>
      </c>
      <c r="O42" s="60">
        <v>0</v>
      </c>
      <c r="P42" s="60"/>
      <c r="Q42" s="60">
        <v>0</v>
      </c>
      <c r="R42" s="60">
        <v>0</v>
      </c>
      <c r="S42" s="27"/>
    </row>
    <row r="43" spans="1:20" s="44" customFormat="1" x14ac:dyDescent="0.25">
      <c r="A43" s="5">
        <v>43040</v>
      </c>
      <c r="B43" s="41"/>
      <c r="C43" s="60">
        <v>0</v>
      </c>
      <c r="D43" s="60">
        <v>0</v>
      </c>
      <c r="E43" s="60">
        <v>0</v>
      </c>
      <c r="F43" s="33">
        <v>0</v>
      </c>
      <c r="G43" s="33"/>
      <c r="H43" s="60">
        <v>0</v>
      </c>
      <c r="I43" s="60">
        <v>0</v>
      </c>
      <c r="J43" s="60">
        <v>0</v>
      </c>
      <c r="K43" s="33"/>
      <c r="L43" s="60">
        <v>0</v>
      </c>
      <c r="M43" s="60">
        <v>0</v>
      </c>
      <c r="N43" s="60">
        <v>0</v>
      </c>
      <c r="O43" s="60">
        <v>0</v>
      </c>
      <c r="P43" s="60"/>
      <c r="Q43" s="60">
        <v>0</v>
      </c>
      <c r="R43" s="60">
        <v>0</v>
      </c>
      <c r="S43" s="27"/>
    </row>
    <row r="44" spans="1:20" s="44" customFormat="1" x14ac:dyDescent="0.25">
      <c r="A44" s="5">
        <v>43070</v>
      </c>
      <c r="B44" s="41"/>
      <c r="C44" s="60">
        <v>0</v>
      </c>
      <c r="D44" s="60">
        <v>0</v>
      </c>
      <c r="E44" s="60">
        <v>0</v>
      </c>
      <c r="F44" s="33">
        <v>0</v>
      </c>
      <c r="G44" s="60"/>
      <c r="H44" s="60">
        <v>0</v>
      </c>
      <c r="I44" s="60">
        <v>0</v>
      </c>
      <c r="J44" s="60">
        <v>0</v>
      </c>
      <c r="K44" s="33"/>
      <c r="L44" s="60">
        <v>0</v>
      </c>
      <c r="M44" s="60">
        <v>0</v>
      </c>
      <c r="N44" s="60">
        <v>0</v>
      </c>
      <c r="O44" s="60">
        <v>0</v>
      </c>
      <c r="P44" s="33"/>
      <c r="Q44" s="60">
        <v>0</v>
      </c>
      <c r="R44" s="60">
        <v>0</v>
      </c>
      <c r="S44" s="33"/>
    </row>
    <row r="45" spans="1:20" s="44" customFormat="1" x14ac:dyDescent="0.25">
      <c r="A45" s="5">
        <v>43101</v>
      </c>
      <c r="B45" s="41"/>
      <c r="C45" s="60">
        <v>0</v>
      </c>
      <c r="D45" s="60">
        <v>0</v>
      </c>
      <c r="E45" s="60">
        <v>0</v>
      </c>
      <c r="F45" s="33">
        <v>0</v>
      </c>
      <c r="G45" s="33"/>
      <c r="H45" s="60">
        <v>0</v>
      </c>
      <c r="I45" s="60">
        <v>0</v>
      </c>
      <c r="J45" s="60">
        <v>0</v>
      </c>
      <c r="K45" s="33"/>
      <c r="L45" s="60">
        <v>0</v>
      </c>
      <c r="M45" s="60">
        <v>0</v>
      </c>
      <c r="N45" s="60">
        <v>0</v>
      </c>
      <c r="O45" s="60">
        <v>0</v>
      </c>
      <c r="P45" s="33"/>
      <c r="Q45" s="60">
        <v>0</v>
      </c>
      <c r="R45" s="60">
        <v>0</v>
      </c>
      <c r="S45" s="33"/>
    </row>
    <row r="46" spans="1:20" s="44" customFormat="1" x14ac:dyDescent="0.25">
      <c r="A46" s="5">
        <v>43132</v>
      </c>
      <c r="B46" s="41"/>
      <c r="C46" s="36">
        <v>9019456.2500000037</v>
      </c>
      <c r="D46" s="36">
        <v>6438976.4179000016</v>
      </c>
      <c r="E46" s="36">
        <v>2580479.8321000012</v>
      </c>
      <c r="F46" s="27">
        <v>0</v>
      </c>
      <c r="G46" s="33"/>
      <c r="H46" s="36">
        <v>2064383.8656800012</v>
      </c>
      <c r="I46" s="36">
        <v>129023.99160500008</v>
      </c>
      <c r="J46" s="36">
        <v>129023.99160500008</v>
      </c>
      <c r="K46" s="33"/>
      <c r="L46" s="36">
        <v>16071.404788531503</v>
      </c>
      <c r="M46" s="36">
        <v>12221.155093092138</v>
      </c>
      <c r="N46" s="36">
        <v>75774.218139512173</v>
      </c>
      <c r="O46" s="36">
        <v>12537.25458184844</v>
      </c>
      <c r="P46" s="33"/>
      <c r="Q46" s="36">
        <v>94960.514666964547</v>
      </c>
      <c r="R46" s="36">
        <v>46483.435940051349</v>
      </c>
      <c r="S46" s="33"/>
    </row>
    <row r="47" spans="1:20" s="44" customFormat="1" x14ac:dyDescent="0.25">
      <c r="A47" s="5">
        <v>43160</v>
      </c>
      <c r="B47" s="41"/>
      <c r="C47" s="36">
        <v>12404694.030000001</v>
      </c>
      <c r="D47" s="36">
        <v>9364810.0707999989</v>
      </c>
      <c r="E47" s="36">
        <v>3039883.9592000004</v>
      </c>
      <c r="F47" s="27">
        <v>6000</v>
      </c>
      <c r="G47" s="33"/>
      <c r="H47" s="36">
        <v>2436707.1673600003</v>
      </c>
      <c r="I47" s="36">
        <v>152294.19796000002</v>
      </c>
      <c r="J47" s="36">
        <v>152294.19796000002</v>
      </c>
      <c r="K47" s="33"/>
      <c r="L47" s="36">
        <v>18969.973505803842</v>
      </c>
      <c r="M47" s="36">
        <v>14425.309509453347</v>
      </c>
      <c r="N47" s="36">
        <v>89440.526789250885</v>
      </c>
      <c r="O47" s="36">
        <v>14798.419328153464</v>
      </c>
      <c r="P47" s="33"/>
      <c r="Q47" s="36">
        <v>112087.1803699006</v>
      </c>
      <c r="R47" s="36">
        <v>54866.986417437889</v>
      </c>
      <c r="S47" s="33"/>
    </row>
    <row r="48" spans="1:20" s="44" customFormat="1" ht="15.75" thickBot="1" x14ac:dyDescent="0.3">
      <c r="A48" s="5" t="s">
        <v>28</v>
      </c>
      <c r="B48" s="41"/>
      <c r="C48" s="61">
        <v>21424150.280000005</v>
      </c>
      <c r="D48" s="61">
        <v>15803786.488700001</v>
      </c>
      <c r="E48" s="61">
        <v>5620363.7913000016</v>
      </c>
      <c r="F48" s="61">
        <v>6000</v>
      </c>
      <c r="G48" s="39"/>
      <c r="H48" s="61">
        <v>4501091.033040002</v>
      </c>
      <c r="I48" s="61">
        <v>281318.18956500012</v>
      </c>
      <c r="J48" s="61">
        <v>281318.18956500012</v>
      </c>
      <c r="K48" s="61"/>
      <c r="L48" s="61">
        <v>35041.378294335344</v>
      </c>
      <c r="M48" s="61">
        <v>26646.464602545486</v>
      </c>
      <c r="N48" s="61">
        <v>165214.74492876307</v>
      </c>
      <c r="O48" s="61">
        <v>27335.673910001904</v>
      </c>
      <c r="P48" s="61"/>
      <c r="Q48" s="61">
        <v>207047.69503686513</v>
      </c>
      <c r="R48" s="61">
        <v>101350.42235748924</v>
      </c>
      <c r="S48" s="39"/>
      <c r="T48" s="59"/>
    </row>
    <row r="49" spans="1:21" s="44" customFormat="1" ht="15.75" thickTop="1" x14ac:dyDescent="0.25">
      <c r="A49" s="41"/>
      <c r="B49" s="41"/>
      <c r="C49" s="39"/>
      <c r="D49" s="42"/>
      <c r="E49" s="42"/>
      <c r="F49" s="42"/>
      <c r="G49" s="42"/>
      <c r="H49" s="42"/>
      <c r="I49" s="42"/>
      <c r="L49" s="42"/>
      <c r="M49" s="42"/>
      <c r="N49" s="42"/>
      <c r="O49" s="42"/>
      <c r="Q49" s="42"/>
    </row>
    <row r="50" spans="1:21" s="44" customFormat="1" x14ac:dyDescent="0.25">
      <c r="A50" s="41"/>
      <c r="B50" s="41"/>
      <c r="C50" s="42"/>
      <c r="D50" s="42">
        <v>0.73766223080750337</v>
      </c>
      <c r="E50" s="42">
        <v>0.26233776919249657</v>
      </c>
      <c r="F50" s="42"/>
      <c r="G50" s="42"/>
      <c r="H50" s="42">
        <v>0.80000000000000016</v>
      </c>
      <c r="I50" s="42">
        <v>5.000000000000001E-2</v>
      </c>
      <c r="J50" s="42">
        <v>5.000000000000001E-2</v>
      </c>
      <c r="K50" s="42">
        <v>0</v>
      </c>
      <c r="L50" s="42">
        <v>6.2280683571367228E-3</v>
      </c>
      <c r="M50" s="42">
        <v>4.7360010107680359E-3</v>
      </c>
      <c r="N50" s="42">
        <v>2.9364390760553596E-2</v>
      </c>
      <c r="O50" s="42">
        <v>4.8584974104004478E-3</v>
      </c>
      <c r="P50" s="42">
        <v>0</v>
      </c>
      <c r="Q50" s="42">
        <v>3.6799556999321872E-2</v>
      </c>
      <c r="R50" s="42">
        <v>1.8013485461819325E-2</v>
      </c>
      <c r="S50" s="42"/>
    </row>
    <row r="51" spans="1:21" s="44" customFormat="1" x14ac:dyDescent="0.25">
      <c r="A51" s="41"/>
      <c r="B51" s="41"/>
      <c r="C51" s="42"/>
      <c r="D51" s="42"/>
      <c r="F51" s="39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U51" s="59"/>
    </row>
    <row r="52" spans="1:21" s="44" customFormat="1" x14ac:dyDescent="0.25">
      <c r="A52" s="62" t="s">
        <v>55</v>
      </c>
      <c r="B52" s="41"/>
      <c r="C52" s="42"/>
      <c r="D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U52" s="59"/>
    </row>
    <row r="53" spans="1:21" s="46" customFormat="1" x14ac:dyDescent="0.25">
      <c r="A53" s="63" t="s">
        <v>56</v>
      </c>
      <c r="B53" s="64"/>
      <c r="C53" s="65"/>
      <c r="D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U53" s="59"/>
    </row>
    <row r="54" spans="1:21" s="46" customFormat="1" x14ac:dyDescent="0.25">
      <c r="A54" s="63" t="s">
        <v>57</v>
      </c>
      <c r="B54" s="64"/>
      <c r="C54" s="65"/>
      <c r="D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</row>
    <row r="55" spans="1:21" s="46" customFormat="1" x14ac:dyDescent="0.25">
      <c r="A55" s="63"/>
      <c r="B55" s="64"/>
      <c r="C55" s="65"/>
      <c r="D55" s="65"/>
      <c r="H55" s="66"/>
      <c r="I55" s="66"/>
      <c r="J55" s="66"/>
      <c r="K55" s="65"/>
      <c r="L55" s="67"/>
      <c r="M55" s="67"/>
      <c r="N55" s="67"/>
      <c r="O55" s="67"/>
      <c r="P55" s="65"/>
      <c r="Q55" s="67"/>
      <c r="R55" s="67"/>
      <c r="S55" s="68"/>
      <c r="T55" s="68"/>
    </row>
    <row r="56" spans="1:21" s="46" customFormat="1" ht="15" customHeight="1" x14ac:dyDescent="0.25">
      <c r="A56" s="63" t="s">
        <v>58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</row>
    <row r="57" spans="1:21" s="46" customFormat="1" x14ac:dyDescent="0.25">
      <c r="B57" s="64"/>
      <c r="C57" s="65"/>
      <c r="D57" s="70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</row>
    <row r="58" spans="1:21" ht="15" customHeight="1" x14ac:dyDescent="0.25">
      <c r="A58" s="71" t="s">
        <v>65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21" x14ac:dyDescent="0.25">
      <c r="A59" s="71" t="s">
        <v>66</v>
      </c>
    </row>
    <row r="61" spans="1:21" x14ac:dyDescent="0.25">
      <c r="A61" s="71" t="s">
        <v>61</v>
      </c>
    </row>
    <row r="62" spans="1:21" x14ac:dyDescent="0.25">
      <c r="A62" s="71"/>
      <c r="B62" s="72"/>
      <c r="C62" s="73"/>
      <c r="D62" s="73"/>
      <c r="E62" s="73"/>
      <c r="F62" s="73"/>
      <c r="G62" s="73"/>
      <c r="H62" s="73"/>
      <c r="I62" s="74"/>
      <c r="J62" s="73"/>
      <c r="K62" s="73"/>
      <c r="L62" s="73"/>
      <c r="M62" s="73"/>
      <c r="N62" s="73"/>
      <c r="O62" s="73"/>
    </row>
    <row r="63" spans="1:21" x14ac:dyDescent="0.25">
      <c r="A63" s="71"/>
    </row>
  </sheetData>
  <mergeCells count="12">
    <mergeCell ref="L34:R34"/>
    <mergeCell ref="A1:T1"/>
    <mergeCell ref="A2:T2"/>
    <mergeCell ref="A3:T3"/>
    <mergeCell ref="A4:T4"/>
    <mergeCell ref="A5:T5"/>
    <mergeCell ref="A8:T8"/>
    <mergeCell ref="C10:J10"/>
    <mergeCell ref="L10:O10"/>
    <mergeCell ref="Q10:R10"/>
    <mergeCell ref="A30:T30"/>
    <mergeCell ref="H32:R32"/>
  </mergeCells>
  <hyperlinks>
    <hyperlink ref="A4" r:id="rId1" xr:uid="{BB991CD2-56E9-4FEC-A29F-4FA48AA12D17}"/>
  </hyperlinks>
  <printOptions horizontalCentered="1" verticalCentered="1"/>
  <pageMargins left="0" right="0" top="0.25" bottom="0.25" header="0.3" footer="0.3"/>
  <pageSetup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24-25 RW Catskills Monthly</vt:lpstr>
      <vt:lpstr>23-24 RW Catskills Monthly </vt:lpstr>
      <vt:lpstr>22-23 RW Catskills Monthly</vt:lpstr>
      <vt:lpstr>21-22 RW Catskills Monthly</vt:lpstr>
      <vt:lpstr>20-21 RW Catskills Monthly</vt:lpstr>
      <vt:lpstr>19-20 RW Catskills Monthly</vt:lpstr>
      <vt:lpstr>18-19 RW Catskills Monthly </vt:lpstr>
      <vt:lpstr>17-18 RW Catskills 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Becker, Tammy (GAMING)</cp:lastModifiedBy>
  <cp:lastPrinted>2024-08-09T17:05:17Z</cp:lastPrinted>
  <dcterms:created xsi:type="dcterms:W3CDTF">2018-12-07T16:00:20Z</dcterms:created>
  <dcterms:modified xsi:type="dcterms:W3CDTF">2024-09-06T14:31:22Z</dcterms:modified>
</cp:coreProperties>
</file>